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668"/>
  <workbookPr updateLinks="never" codeName="ThisWorkbook"/>
  <mc:AlternateContent xmlns:mc="http://schemas.openxmlformats.org/markup-compatibility/2006">
    <mc:Choice Requires="x15">
      <x15ac:absPath xmlns:x15ac="http://schemas.microsoft.com/office/spreadsheetml/2010/11/ac" url="C:\Users\rward\Dropbox\Premium BROKER\PB Compliance\"/>
    </mc:Choice>
  </mc:AlternateContent>
  <bookViews>
    <workbookView xWindow="0" yWindow="0" windowWidth="25710" windowHeight="13275" tabRatio="901"/>
  </bookViews>
  <sheets>
    <sheet name="FactFind" sheetId="82" r:id="rId1"/>
    <sheet name="Profile" sheetId="8" r:id="rId2"/>
    <sheet name="Address" sheetId="55" r:id="rId3"/>
    <sheet name="Income" sheetId="10" r:id="rId4"/>
    <sheet name="LoanCalcs" sheetId="6" state="hidden" r:id="rId5"/>
    <sheet name="Funding" sheetId="13" r:id="rId6"/>
    <sheet name="Security" sheetId="19" r:id="rId7"/>
    <sheet name="A&amp;L" sheetId="11" r:id="rId8"/>
    <sheet name="Expenses" sheetId="57" r:id="rId9"/>
    <sheet name="Servicing" sheetId="84" r:id="rId10"/>
    <sheet name="Goals" sheetId="83" r:id="rId11"/>
    <sheet name="Purpose" sheetId="32" r:id="rId12"/>
    <sheet name="Advice" sheetId="25" r:id="rId13"/>
    <sheet name="ThirdParty" sheetId="85" r:id="rId14"/>
    <sheet name="Compliance" sheetId="58" r:id="rId15"/>
    <sheet name="Req Print" sheetId="78" r:id="rId16"/>
    <sheet name="Processing" sheetId="48" state="hidden" r:id="rId17"/>
    <sheet name="Refinance" sheetId="79" state="hidden" r:id="rId18"/>
    <sheet name="Req" sheetId="33" r:id="rId19"/>
    <sheet name="3Cs" sheetId="50" r:id="rId20"/>
    <sheet name="PBPayslips" sheetId="24" r:id="rId21"/>
    <sheet name="Construction" sheetId="61" r:id="rId22"/>
    <sheet name="SelfEmp" sheetId="30" r:id="rId23"/>
    <sheet name="PBCompare" sheetId="52" state="hidden" r:id="rId24"/>
    <sheet name="BrokNotes" sheetId="59" state="hidden" r:id="rId25"/>
    <sheet name="RefiData" sheetId="81" state="hidden" r:id="rId26"/>
    <sheet name="SMSF" sheetId="56" state="hidden" r:id="rId27"/>
    <sheet name="Invest" sheetId="54" state="hidden" r:id="rId28"/>
    <sheet name="Commission" sheetId="77" state="hidden" r:id="rId29"/>
    <sheet name="Bud(LVR)" sheetId="20" state="hidden" r:id="rId30"/>
    <sheet name="Bud(Dep)" sheetId="21" state="hidden" r:id="rId31"/>
    <sheet name="Bud(Loan)" sheetId="36" state="hidden" r:id="rId32"/>
    <sheet name="Bud(Price)" sheetId="45" state="hidden" r:id="rId33"/>
    <sheet name="Settings" sheetId="29" state="hidden" r:id="rId34"/>
    <sheet name="PBLoan" sheetId="31" state="hidden" r:id="rId35"/>
  </sheets>
  <externalReferences>
    <externalReference r:id="rId36"/>
  </externalReferences>
  <definedNames>
    <definedName name="_xlnm._FilterDatabase" localSheetId="18" hidden="1">Req!$B$7:$AA$72</definedName>
    <definedName name="_xlnm._FilterDatabase" localSheetId="15" hidden="1">'Req Print'!$B$7:$AA$37</definedName>
    <definedName name="AddressBorrower1" localSheetId="19">'3Cs'!#REF!</definedName>
    <definedName name="AddressBorrower1" localSheetId="2">Address!#REF!</definedName>
    <definedName name="AddressBorrower1">Address!$G$4</definedName>
    <definedName name="AddressBorrower2" localSheetId="19">'3Cs'!#REF!</definedName>
    <definedName name="AddressBorrower2" localSheetId="2">Address!#REF!</definedName>
    <definedName name="AddressBorrower2">Address!$R$4</definedName>
    <definedName name="AddressPostal1" localSheetId="19">'3Cs'!#REF!</definedName>
    <definedName name="AddressPostal1" localSheetId="2">Address!$G$19</definedName>
    <definedName name="AddressPostal1" localSheetId="0">FactFind!#REF!</definedName>
    <definedName name="AddressPostal1">Profile!$G$35</definedName>
    <definedName name="AddressPostal2" localSheetId="19">'3Cs'!#REF!</definedName>
    <definedName name="AddressPostal2" localSheetId="2">Address!$R$19</definedName>
    <definedName name="AddressPostal2" localSheetId="0">FactFind!#REF!</definedName>
    <definedName name="AddressPostal2">Profile!$R$35</definedName>
    <definedName name="AddressWork1">Income!$G$9</definedName>
    <definedName name="AddressWork2">Income!$R$9</definedName>
    <definedName name="B6_">Security!$I$7:$Q$7</definedName>
    <definedName name="Borrower1" localSheetId="19">'3Cs'!#REF!</definedName>
    <definedName name="Borrower1" localSheetId="2">Address!#REF!</definedName>
    <definedName name="Borrower1" localSheetId="0">FactFind!#REF!</definedName>
    <definedName name="Borrower1">Profile!$G$5</definedName>
    <definedName name="Borrower2" localSheetId="19">'3Cs'!#REF!</definedName>
    <definedName name="Borrower2" localSheetId="2">Address!#REF!</definedName>
    <definedName name="Borrower2" localSheetId="0">FactFind!#REF!</definedName>
    <definedName name="Borrower2">Profile!$R$5</definedName>
    <definedName name="CBACalc">#REF!</definedName>
    <definedName name="EmployType1">Income!$M$5</definedName>
    <definedName name="EmployType2">Income!$X$5</definedName>
    <definedName name="ExpressionOfInterest" localSheetId="19">Advice!#REF!</definedName>
    <definedName name="ExpressionOfInterest" localSheetId="2">Advice!#REF!</definedName>
    <definedName name="ExpressionOfInterest" localSheetId="24">Advice!#REF!</definedName>
    <definedName name="ExpressionOfInterest" localSheetId="14">Advice!#REF!</definedName>
    <definedName name="ExpressionOfInterest" localSheetId="21">Advice!#REF!</definedName>
    <definedName name="ExpressionOfInterest" localSheetId="8">Advice!#REF!</definedName>
    <definedName name="ExpressionOfInterest" localSheetId="0">Advice!#REF!</definedName>
    <definedName name="ExpressionOfInterest" localSheetId="10">Advice!#REF!</definedName>
    <definedName name="ExpressionOfInterest" localSheetId="23">Advice!#REF!</definedName>
    <definedName name="ExpressionOfInterest" localSheetId="16">Advice!#REF!</definedName>
    <definedName name="ExpressionOfInterest" localSheetId="17">Advice!#REF!</definedName>
    <definedName name="ExpressionOfInterest" localSheetId="15">Advice!#REF!</definedName>
    <definedName name="ExpressionOfInterest" localSheetId="26">Advice!#REF!</definedName>
    <definedName name="ExpressionOfInterest" localSheetId="13">Advice!#REF!</definedName>
    <definedName name="ExpressionOfInterest">Advice!#REF!</definedName>
    <definedName name="GovtFees">Settings!$V$2</definedName>
    <definedName name="Income1" localSheetId="2">#REF!</definedName>
    <definedName name="Income1" localSheetId="24">#REF!</definedName>
    <definedName name="Income1" localSheetId="14">#REF!</definedName>
    <definedName name="Income1" localSheetId="21">#REF!</definedName>
    <definedName name="Income1" localSheetId="8">Expenses!#REF!</definedName>
    <definedName name="Income1" localSheetId="0">#REF!</definedName>
    <definedName name="Income1" localSheetId="10">#REF!</definedName>
    <definedName name="Income1" localSheetId="23">PBCompare!$P$9</definedName>
    <definedName name="Income1" localSheetId="17">Refinance!$S$8</definedName>
    <definedName name="Income1" localSheetId="15">#REF!</definedName>
    <definedName name="Income1" localSheetId="22">SelfEmp!#REF!</definedName>
    <definedName name="Income1" localSheetId="26">SMSF!#REF!</definedName>
    <definedName name="Income1" localSheetId="13">#REF!</definedName>
    <definedName name="Income1">#REF!</definedName>
    <definedName name="Income1PB">#REF!</definedName>
    <definedName name="Income2" localSheetId="2">#REF!</definedName>
    <definedName name="Income2" localSheetId="24">#REF!</definedName>
    <definedName name="Income2" localSheetId="14">#REF!</definedName>
    <definedName name="Income2" localSheetId="21">#REF!</definedName>
    <definedName name="Income2" localSheetId="8">Expenses!#REF!</definedName>
    <definedName name="Income2" localSheetId="0">#REF!</definedName>
    <definedName name="Income2" localSheetId="10">#REF!</definedName>
    <definedName name="Income2" localSheetId="23">PBCompare!$P$10</definedName>
    <definedName name="Income2" localSheetId="17">Refinance!#REF!</definedName>
    <definedName name="Income2" localSheetId="15">#REF!</definedName>
    <definedName name="Income2" localSheetId="22">SelfEmp!#REF!</definedName>
    <definedName name="Income2" localSheetId="26">SMSF!#REF!</definedName>
    <definedName name="Income2" localSheetId="13">#REF!</definedName>
    <definedName name="Income2">#REF!</definedName>
    <definedName name="Income2PB">#REF!</definedName>
    <definedName name="InterestRate" localSheetId="24">BrokNotes!$G$9</definedName>
    <definedName name="InterestRate" localSheetId="14">Compliance!#REF!</definedName>
    <definedName name="InterestRate" localSheetId="16">Processing!$G$19</definedName>
    <definedName name="InterestRate" localSheetId="18">Req!#REF!</definedName>
    <definedName name="InterestRate" localSheetId="15">'Req Print'!#REF!</definedName>
    <definedName name="InterestRate">PBLoan!$G$22</definedName>
    <definedName name="Lender1" localSheetId="19">#REF!</definedName>
    <definedName name="Lender1" localSheetId="2">#REF!</definedName>
    <definedName name="Lender1" localSheetId="24">BrokNotes!$E$6</definedName>
    <definedName name="Lender1" localSheetId="32">#REF!</definedName>
    <definedName name="Lender1" localSheetId="14">Compliance!$E$6</definedName>
    <definedName name="Lender1" localSheetId="21">#REF!</definedName>
    <definedName name="Lender1" localSheetId="8">#REF!</definedName>
    <definedName name="Lender1" localSheetId="0">#REF!</definedName>
    <definedName name="Lender1" localSheetId="10">Goals!$F$6</definedName>
    <definedName name="Lender1" localSheetId="23">#REF!</definedName>
    <definedName name="Lender1" localSheetId="34">PBLoan!#REF!</definedName>
    <definedName name="Lender1" localSheetId="16">Processing!#REF!</definedName>
    <definedName name="Lender1" localSheetId="11">Purpose!$F$7</definedName>
    <definedName name="Lender1" localSheetId="17">#REF!</definedName>
    <definedName name="Lender1" localSheetId="18">Req!$E$6</definedName>
    <definedName name="Lender1" localSheetId="15">'Req Print'!$E$6</definedName>
    <definedName name="Lender1" localSheetId="26">#REF!</definedName>
    <definedName name="Lender1" localSheetId="13">ThirdParty!#REF!</definedName>
    <definedName name="Lender1">#REF!</definedName>
    <definedName name="Lender2" localSheetId="19">#REF!</definedName>
    <definedName name="Lender2" localSheetId="2">#REF!</definedName>
    <definedName name="Lender2" localSheetId="24">BrokNotes!$G$6</definedName>
    <definedName name="Lender2" localSheetId="32">#REF!</definedName>
    <definedName name="Lender2" localSheetId="14">Compliance!$G$6</definedName>
    <definedName name="Lender2" localSheetId="21">#REF!</definedName>
    <definedName name="Lender2" localSheetId="8">#REF!</definedName>
    <definedName name="Lender2" localSheetId="0">#REF!</definedName>
    <definedName name="Lender2" localSheetId="10">Goals!$K$6</definedName>
    <definedName name="Lender2" localSheetId="23">#REF!</definedName>
    <definedName name="Lender2" localSheetId="34">PBLoan!#REF!</definedName>
    <definedName name="Lender2" localSheetId="16">Processing!#REF!</definedName>
    <definedName name="Lender2" localSheetId="11">Purpose!$K$7</definedName>
    <definedName name="Lender2" localSheetId="17">#REF!</definedName>
    <definedName name="Lender2" localSheetId="18">Req!$H$6</definedName>
    <definedName name="Lender2" localSheetId="15">'Req Print'!$H$6</definedName>
    <definedName name="Lender2" localSheetId="26">#REF!</definedName>
    <definedName name="Lender2" localSheetId="13">ThirdParty!#REF!</definedName>
    <definedName name="Lender2">#REF!</definedName>
    <definedName name="Lender3" localSheetId="19">#REF!</definedName>
    <definedName name="Lender3" localSheetId="2">#REF!</definedName>
    <definedName name="Lender3" localSheetId="24">BrokNotes!$S$6</definedName>
    <definedName name="Lender3" localSheetId="32">#REF!</definedName>
    <definedName name="Lender3" localSheetId="14">Compliance!$S$6</definedName>
    <definedName name="Lender3" localSheetId="21">#REF!</definedName>
    <definedName name="Lender3" localSheetId="8">#REF!</definedName>
    <definedName name="Lender3" localSheetId="0">#REF!</definedName>
    <definedName name="Lender3" localSheetId="10">Goals!$R$6</definedName>
    <definedName name="Lender3" localSheetId="23">#REF!</definedName>
    <definedName name="Lender3" localSheetId="34">PBLoan!#REF!</definedName>
    <definedName name="Lender3" localSheetId="16">Processing!#REF!</definedName>
    <definedName name="Lender3" localSheetId="11">Purpose!$R$7</definedName>
    <definedName name="Lender3" localSheetId="17">#REF!</definedName>
    <definedName name="Lender3" localSheetId="18">Req!$T$6</definedName>
    <definedName name="Lender3" localSheetId="15">'Req Print'!$T$6</definedName>
    <definedName name="Lender3" localSheetId="26">#REF!</definedName>
    <definedName name="Lender3" localSheetId="13">ThirdParty!#REF!</definedName>
    <definedName name="Lender3">#REF!</definedName>
    <definedName name="Lenders">Settings!$A$2</definedName>
    <definedName name="ListRefinanceReasons">Settings!$AF$2</definedName>
    <definedName name="LoanSplit1" localSheetId="24">BrokNotes!#REF!</definedName>
    <definedName name="LoanSplit1" localSheetId="14">Compliance!#REF!</definedName>
    <definedName name="LoanSplit1" localSheetId="16">Processing!$G$12</definedName>
    <definedName name="LoanSplit1" localSheetId="18">Req!#REF!</definedName>
    <definedName name="LoanSplit1" localSheetId="15">'Req Print'!#REF!</definedName>
    <definedName name="LoanSplit1">PBLoan!$G$13</definedName>
    <definedName name="LoanTotalAmount" localSheetId="24">BrokNotes!#REF!</definedName>
    <definedName name="LoanTotalAmount" localSheetId="14">Compliance!#REF!</definedName>
    <definedName name="LoanTotalAmount" localSheetId="16">Processing!#REF!</definedName>
    <definedName name="LoanTotalAmount" localSheetId="18">Req!#REF!</definedName>
    <definedName name="LoanTotalAmount" localSheetId="15">'Req Print'!#REF!</definedName>
    <definedName name="LoanTotalAmount">PBLoan!$W$11</definedName>
    <definedName name="Occupation1">Income!$G$6</definedName>
    <definedName name="Occupation2">Income!$R$6</definedName>
    <definedName name="PPrice" localSheetId="24">Funding!$G$11,Funding!#REF!</definedName>
    <definedName name="PPrice" localSheetId="14">Funding!$G$11,Funding!#REF!</definedName>
    <definedName name="PPrice" localSheetId="21">Construction!$G$11,Construction!#REF!</definedName>
    <definedName name="PPrice" localSheetId="0">Funding!$G$11,Funding!#REF!</definedName>
    <definedName name="PPrice" localSheetId="10">Funding!$G$11,Funding!#REF!</definedName>
    <definedName name="PPrice" localSheetId="17">Funding!$G$11,Funding!#REF!</definedName>
    <definedName name="PPrice" localSheetId="15">Funding!$G$11,Funding!#REF!</definedName>
    <definedName name="PPrice" localSheetId="13">Funding!$G$11,Funding!#REF!</definedName>
    <definedName name="PPrice">Funding!$G$11,Funding!#REF!</definedName>
    <definedName name="_xlnm.Print_Area" localSheetId="19">'3Cs'!$A$1:$AB$36</definedName>
    <definedName name="_xlnm.Print_Area" localSheetId="7">'A&amp;L'!$A:$AB</definedName>
    <definedName name="_xlnm.Print_Area" localSheetId="2">Address!$A$1:$AB$28</definedName>
    <definedName name="_xlnm.Print_Area" localSheetId="12">Advice!$A:$Z</definedName>
    <definedName name="_xlnm.Print_Area" localSheetId="24">BrokNotes!$A:$AA</definedName>
    <definedName name="_xlnm.Print_Area" localSheetId="30">'Bud(Dep)'!$A$1:$AA$42</definedName>
    <definedName name="_xlnm.Print_Area" localSheetId="31">'Bud(Loan)'!$A$1:$AA$42</definedName>
    <definedName name="_xlnm.Print_Area" localSheetId="29">'Bud(LVR)'!$A:$AA</definedName>
    <definedName name="_xlnm.Print_Area" localSheetId="32">'Bud(Price)'!$A$1:$AA$42</definedName>
    <definedName name="_xlnm.Print_Area" localSheetId="14">Compliance!$A:$AA</definedName>
    <definedName name="_xlnm.Print_Area" localSheetId="21">Construction!$A$1:$AA$39</definedName>
    <definedName name="_xlnm.Print_Area" localSheetId="8">Expenses!$A$1:$V$42</definedName>
    <definedName name="_xlnm.Print_Area" localSheetId="0">FactFind!$B$1:$AA$27</definedName>
    <definedName name="_xlnm.Print_Area" localSheetId="5">Funding!$A$1:$Z$39</definedName>
    <definedName name="_xlnm.Print_Area" localSheetId="10">Goals!$A$1:$Z$32</definedName>
    <definedName name="_xlnm.Print_Area" localSheetId="3">Income!$A$1:$AA$41</definedName>
    <definedName name="_xlnm.Print_Area" localSheetId="27">Invest!$A$1:$G$56</definedName>
    <definedName name="_xlnm.Print_Area" localSheetId="4">LoanCalcs!$B$1:$M$39</definedName>
    <definedName name="_xlnm.Print_Area" localSheetId="23">PBCompare!$A$1:$D$38</definedName>
    <definedName name="_xlnm.Print_Area" localSheetId="34">PBLoan!$A$1:$AA$41</definedName>
    <definedName name="_xlnm.Print_Area" localSheetId="20">PBPayslips!$A$1:$M$39</definedName>
    <definedName name="_xlnm.Print_Area" localSheetId="16">Processing!$A$1:$AA$48</definedName>
    <definedName name="_xlnm.Print_Area" localSheetId="1">Profile!$A$1:$AA$36</definedName>
    <definedName name="_xlnm.Print_Area" localSheetId="11">Purpose!$A$1:$Z$40</definedName>
    <definedName name="_xlnm.Print_Area" localSheetId="17">Refinance!$A$1:$G$39</definedName>
    <definedName name="_xlnm.Print_Area" localSheetId="18">Req!$A:$AA</definedName>
    <definedName name="_xlnm.Print_Area" localSheetId="15">'Req Print'!$A:$AA</definedName>
    <definedName name="_xlnm.Print_Area" localSheetId="6">Security!$A$1:$AB$35</definedName>
    <definedName name="_xlnm.Print_Area" localSheetId="22">SelfEmp!$A:$AA</definedName>
    <definedName name="_xlnm.Print_Area" localSheetId="9">Servicing!$A$1:$X$44</definedName>
    <definedName name="_xlnm.Print_Area" localSheetId="26">SMSF!$A:$AA</definedName>
    <definedName name="_xlnm.Print_Area" localSheetId="13">ThirdParty!$A$1:$AB$31</definedName>
    <definedName name="Processing" localSheetId="19">#REF!</definedName>
    <definedName name="Processing" localSheetId="2">#REF!</definedName>
    <definedName name="Processing" localSheetId="24">#REF!</definedName>
    <definedName name="Processing" localSheetId="14">#REF!</definedName>
    <definedName name="Processing" localSheetId="21">#REF!</definedName>
    <definedName name="Processing" localSheetId="8">#REF!</definedName>
    <definedName name="Processing" localSheetId="0">#REF!</definedName>
    <definedName name="Processing" localSheetId="10">#REF!</definedName>
    <definedName name="Processing" localSheetId="23">#REF!</definedName>
    <definedName name="Processing" localSheetId="17">#REF!</definedName>
    <definedName name="Processing" localSheetId="15">#REF!</definedName>
    <definedName name="Processing" localSheetId="26">#REF!</definedName>
    <definedName name="Processing" localSheetId="13">#REF!</definedName>
    <definedName name="Processing">#REF!</definedName>
    <definedName name="ProfessionalAdvice">Advice!$A$6</definedName>
    <definedName name="Purchase" localSheetId="21">Construction!$G$11</definedName>
    <definedName name="Purchase">Funding!$G$11</definedName>
    <definedName name="PurchaseLoanAmount" localSheetId="21">Construction!$P$23</definedName>
    <definedName name="PurchaseLoanAmount">Funding!$P$25</definedName>
    <definedName name="PurchasePrice" localSheetId="21">Construction!$G$11</definedName>
    <definedName name="PurchasePrice">Funding!$G$11</definedName>
    <definedName name="RecommendLoanAmount" localSheetId="19">#REF!</definedName>
    <definedName name="RecommendLoanAmount" localSheetId="2">#REF!</definedName>
    <definedName name="RecommendLoanAmount" localSheetId="24">#REF!</definedName>
    <definedName name="RecommendLoanAmount" localSheetId="32">#REF!</definedName>
    <definedName name="RecommendLoanAmount" localSheetId="14">#REF!</definedName>
    <definedName name="RecommendLoanAmount" localSheetId="21">#REF!</definedName>
    <definedName name="RecommendLoanAmount" localSheetId="8">#REF!</definedName>
    <definedName name="RecommendLoanAmount" localSheetId="0">#REF!</definedName>
    <definedName name="RecommendLoanAmount" localSheetId="10">#REF!</definedName>
    <definedName name="RecommendLoanAmount" localSheetId="23">#REF!</definedName>
    <definedName name="RecommendLoanAmount" localSheetId="16">#REF!</definedName>
    <definedName name="RecommendLoanAmount" localSheetId="17">#REF!</definedName>
    <definedName name="RecommendLoanAmount" localSheetId="15">#REF!</definedName>
    <definedName name="RecommendLoanAmount" localSheetId="26">#REF!</definedName>
    <definedName name="RecommendLoanAmount" localSheetId="13">#REF!</definedName>
    <definedName name="RecommendLoanAmount">#REF!</definedName>
    <definedName name="SecurityPurchasePrice">Security!$B$9</definedName>
    <definedName name="SecurityTotal">Security!$W$3</definedName>
    <definedName name="State6" localSheetId="30">'Bud(Dep)'!$X$10</definedName>
    <definedName name="State6" localSheetId="31">'Bud(Loan)'!$X$10</definedName>
    <definedName name="State6" localSheetId="32">'Bud(Price)'!$X$10</definedName>
    <definedName name="State6">'Bud(LVR)'!$X$10</definedName>
    <definedName name="TrackingLeadDate" localSheetId="19">#REF!</definedName>
    <definedName name="TrackingLeadDate" localSheetId="2">#REF!</definedName>
    <definedName name="TrackingLeadDate" localSheetId="24">#REF!</definedName>
    <definedName name="TrackingLeadDate" localSheetId="14">#REF!</definedName>
    <definedName name="TrackingLeadDate" localSheetId="21">#REF!</definedName>
    <definedName name="TrackingLeadDate" localSheetId="8">#REF!</definedName>
    <definedName name="TrackingLeadDate" localSheetId="0">#REF!</definedName>
    <definedName name="TrackingLeadDate" localSheetId="10">#REF!</definedName>
    <definedName name="TrackingLeadDate" localSheetId="23">#REF!</definedName>
    <definedName name="TrackingLeadDate" localSheetId="16">#REF!</definedName>
    <definedName name="TrackingLeadDate" localSheetId="17">#REF!</definedName>
    <definedName name="TrackingLeadDate" localSheetId="15">#REF!</definedName>
    <definedName name="TrackingLeadDate" localSheetId="26">#REF!</definedName>
    <definedName name="TrackingLeadDate" localSheetId="13">#REF!</definedName>
    <definedName name="TrackingLeadDate">#REF!</definedName>
  </definedNames>
  <calcPr calcId="171027"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2" i="8" l="1"/>
  <c r="M22" i="8"/>
  <c r="S22" i="8"/>
  <c r="V22" i="8"/>
  <c r="Y22" i="8"/>
  <c r="BL18" i="8"/>
  <c r="BM18" i="8"/>
  <c r="BO18" i="8"/>
  <c r="BP18" i="8"/>
  <c r="BQ18" i="8"/>
  <c r="BL19" i="8"/>
  <c r="BM19" i="8"/>
  <c r="BO19" i="8"/>
  <c r="BP19" i="8"/>
  <c r="BQ19" i="8"/>
  <c r="AD13" i="13" l="1"/>
  <c r="AC13" i="13"/>
  <c r="AC14" i="13"/>
  <c r="AC15" i="13"/>
  <c r="AC16" i="13"/>
  <c r="AC17" i="13"/>
  <c r="AC18" i="13"/>
  <c r="AC19" i="13"/>
  <c r="AC20" i="13"/>
  <c r="AE26" i="13"/>
  <c r="P25" i="13"/>
  <c r="AQ37" i="13"/>
  <c r="AQ38" i="13"/>
  <c r="AQ36" i="13"/>
  <c r="AO37" i="13"/>
  <c r="AO38" i="13"/>
  <c r="AO36" i="13"/>
  <c r="AK37" i="13"/>
  <c r="AK38" i="13"/>
  <c r="AK36" i="13"/>
  <c r="D38" i="13"/>
  <c r="AG38" i="13" s="1"/>
  <c r="D37" i="13"/>
  <c r="T36" i="13"/>
  <c r="R36" i="13"/>
  <c r="W38" i="13" l="1"/>
  <c r="W37" i="13"/>
  <c r="AG37" i="13"/>
  <c r="V44" i="84"/>
  <c r="P44" i="84"/>
  <c r="O24" i="85" l="1"/>
  <c r="A24" i="85"/>
  <c r="P30" i="8"/>
  <c r="P13" i="84"/>
  <c r="P14" i="84"/>
  <c r="H29" i="84"/>
  <c r="AB3" i="57" s="1"/>
  <c r="A19" i="84"/>
  <c r="P25" i="84"/>
  <c r="H25" i="84"/>
  <c r="S25" i="84" s="1"/>
  <c r="P23" i="84"/>
  <c r="H23" i="84"/>
  <c r="S23" i="84" s="1"/>
  <c r="P21" i="84"/>
  <c r="P24" i="84"/>
  <c r="P22" i="84"/>
  <c r="H24" i="84"/>
  <c r="S24" i="84" s="1"/>
  <c r="H21" i="84"/>
  <c r="S21" i="84" s="1"/>
  <c r="H22" i="84"/>
  <c r="S22" i="84" s="1"/>
  <c r="H26" i="84"/>
  <c r="S26" i="84" s="1"/>
  <c r="V26" i="84" s="1"/>
  <c r="H11" i="84"/>
  <c r="H10" i="84"/>
  <c r="P10" i="84" s="1"/>
  <c r="S10" i="84" l="1"/>
  <c r="V10" i="84" s="1"/>
  <c r="S13" i="84"/>
  <c r="V13" i="84" s="1"/>
  <c r="P11" i="84"/>
  <c r="S11" i="84" s="1"/>
  <c r="V11" i="84" s="1"/>
  <c r="V23" i="84"/>
  <c r="V25" i="84"/>
  <c r="V24" i="84"/>
  <c r="V21" i="84"/>
  <c r="V22" i="84"/>
  <c r="S14" i="84"/>
  <c r="V14" i="84" s="1"/>
  <c r="H52" i="33"/>
  <c r="D36" i="13" l="1"/>
  <c r="AG36" i="13" s="1"/>
  <c r="AC36" i="13" l="1"/>
  <c r="T22" i="13" s="1"/>
  <c r="W36" i="13"/>
  <c r="W39" i="13" s="1"/>
  <c r="D39" i="13"/>
  <c r="B18" i="83"/>
  <c r="F18" i="83"/>
  <c r="E22" i="83"/>
  <c r="E21" i="83"/>
  <c r="E20" i="83"/>
  <c r="E19" i="83"/>
  <c r="A20" i="83"/>
  <c r="A21" i="83"/>
  <c r="A22" i="83"/>
  <c r="A19" i="83"/>
  <c r="CC12" i="83"/>
  <c r="CC11" i="83"/>
  <c r="BZ9" i="83"/>
  <c r="BY9" i="83"/>
  <c r="A18" i="83" l="1"/>
  <c r="E18" i="83"/>
  <c r="E25" i="83" s="1"/>
  <c r="J11" i="24"/>
  <c r="C11" i="24"/>
  <c r="BP4" i="8" l="1"/>
  <c r="BO4" i="8"/>
  <c r="C8" i="58"/>
  <c r="C9" i="58"/>
  <c r="D8" i="79" l="1"/>
  <c r="D9" i="79" s="1"/>
  <c r="E8" i="79"/>
  <c r="E9" i="79" s="1"/>
  <c r="E10" i="79" s="1"/>
  <c r="E30" i="79" s="1"/>
  <c r="B7" i="79"/>
  <c r="B15" i="79"/>
  <c r="N19" i="82"/>
  <c r="N18" i="82"/>
  <c r="B32" i="79"/>
  <c r="B25" i="79"/>
  <c r="B24" i="79"/>
  <c r="B23" i="79"/>
  <c r="B26" i="79" s="1"/>
  <c r="G27" i="79"/>
  <c r="B19" i="79"/>
  <c r="G16" i="79"/>
  <c r="G18" i="79" s="1"/>
  <c r="G31" i="79" s="1"/>
  <c r="G12" i="79"/>
  <c r="F12" i="79"/>
  <c r="E12" i="79"/>
  <c r="D12" i="79"/>
  <c r="C33" i="81"/>
  <c r="G8" i="79"/>
  <c r="G9" i="79" s="1"/>
  <c r="F8" i="79"/>
  <c r="F9" i="79" s="1"/>
  <c r="F10" i="79" s="1"/>
  <c r="F30" i="79" s="1"/>
  <c r="K46" i="81"/>
  <c r="H46" i="81"/>
  <c r="I46" i="81" s="1"/>
  <c r="L46" i="81" s="1"/>
  <c r="K45" i="81"/>
  <c r="H45" i="81"/>
  <c r="I45" i="81" s="1"/>
  <c r="L45" i="81" s="1"/>
  <c r="K44" i="81"/>
  <c r="H44" i="81"/>
  <c r="I44" i="81" s="1"/>
  <c r="L44" i="81" s="1"/>
  <c r="K43" i="81"/>
  <c r="H43" i="81"/>
  <c r="I43" i="81" s="1"/>
  <c r="L43" i="81" s="1"/>
  <c r="K42" i="81"/>
  <c r="H42" i="81"/>
  <c r="I42" i="81" s="1"/>
  <c r="L42" i="81" s="1"/>
  <c r="K41" i="81"/>
  <c r="H41" i="81"/>
  <c r="I41" i="81" s="1"/>
  <c r="L41" i="81" s="1"/>
  <c r="F33" i="81"/>
  <c r="F34" i="81" s="1"/>
  <c r="I32" i="81"/>
  <c r="L32" i="81" s="1"/>
  <c r="I31" i="81"/>
  <c r="L31" i="81" s="1"/>
  <c r="I30" i="81"/>
  <c r="L30" i="81" s="1"/>
  <c r="I29" i="81"/>
  <c r="L29" i="81" s="1"/>
  <c r="I28" i="81"/>
  <c r="L28" i="81" s="1"/>
  <c r="I27" i="81"/>
  <c r="I33" i="81" s="1"/>
  <c r="I34" i="81" s="1"/>
  <c r="F25" i="81"/>
  <c r="L17" i="81"/>
  <c r="I17" i="81"/>
  <c r="E17" i="81"/>
  <c r="D17" i="81"/>
  <c r="O16" i="81"/>
  <c r="K32" i="81" s="1"/>
  <c r="O15" i="81"/>
  <c r="K31" i="81" s="1"/>
  <c r="O14" i="81"/>
  <c r="K30" i="81" s="1"/>
  <c r="O13" i="81"/>
  <c r="K29" i="81" s="1"/>
  <c r="O12" i="81"/>
  <c r="K28" i="81" s="1"/>
  <c r="O11" i="81"/>
  <c r="K27" i="81" s="1"/>
  <c r="K33" i="81" s="1"/>
  <c r="F9" i="81"/>
  <c r="J6" i="81"/>
  <c r="G6" i="81"/>
  <c r="F6" i="81"/>
  <c r="H6" i="81" s="1"/>
  <c r="I6" i="81" s="1"/>
  <c r="G17" i="79" l="1"/>
  <c r="G10" i="79"/>
  <c r="G30" i="79" s="1"/>
  <c r="G34" i="79" s="1"/>
  <c r="D10" i="79"/>
  <c r="L6" i="81"/>
  <c r="L27" i="81"/>
  <c r="L33" i="81" s="1"/>
  <c r="O27" i="81"/>
  <c r="B9" i="79" l="1"/>
  <c r="D30" i="79"/>
  <c r="B10" i="79"/>
  <c r="B30" i="79" s="1"/>
  <c r="B34" i="79" l="1"/>
  <c r="E16" i="24" l="1"/>
  <c r="H34" i="78" l="1"/>
  <c r="H32" i="78"/>
  <c r="H31" i="78"/>
  <c r="H30" i="78"/>
  <c r="H29" i="78"/>
  <c r="H28" i="78"/>
  <c r="H22" i="78"/>
  <c r="H17" i="78"/>
  <c r="H16" i="78"/>
  <c r="H15" i="78"/>
  <c r="H14" i="78"/>
  <c r="H9" i="78"/>
  <c r="H8" i="78"/>
  <c r="H10" i="78"/>
  <c r="H23" i="78"/>
  <c r="H20" i="33" l="1"/>
  <c r="H19" i="33"/>
  <c r="I9" i="30" l="1"/>
  <c r="B7" i="19"/>
  <c r="B9" i="19"/>
  <c r="X11" i="57"/>
  <c r="Y11" i="57" s="1"/>
  <c r="X12" i="57"/>
  <c r="Y12" i="57" s="1"/>
  <c r="X14" i="57"/>
  <c r="Y14" i="57" s="1"/>
  <c r="X15" i="57"/>
  <c r="Y15" i="57" s="1"/>
  <c r="X17" i="57"/>
  <c r="Y17" i="57" s="1"/>
  <c r="X18" i="57"/>
  <c r="Y18" i="57" s="1"/>
  <c r="X20" i="57"/>
  <c r="Y20" i="57" s="1"/>
  <c r="X21" i="57"/>
  <c r="Y21" i="57" s="1"/>
  <c r="X22" i="57"/>
  <c r="Y22" i="57" s="1"/>
  <c r="X23" i="57"/>
  <c r="Y23" i="57" s="1"/>
  <c r="X25" i="57"/>
  <c r="Y25" i="57" s="1"/>
  <c r="X26" i="57"/>
  <c r="Y26" i="57" s="1"/>
  <c r="Q26" i="57" s="1"/>
  <c r="X28" i="57"/>
  <c r="Y28" i="57" s="1"/>
  <c r="X29" i="57"/>
  <c r="Y29" i="57" s="1"/>
  <c r="X30" i="57"/>
  <c r="Y30" i="57" s="1"/>
  <c r="X32" i="57"/>
  <c r="Y32" i="57" s="1"/>
  <c r="X33" i="57"/>
  <c r="Y33" i="57" s="1"/>
  <c r="X35" i="57"/>
  <c r="Y35" i="57" s="1"/>
  <c r="X36" i="57"/>
  <c r="Y36" i="57" s="1"/>
  <c r="X38" i="57"/>
  <c r="Y38" i="57" s="1"/>
  <c r="X39" i="57"/>
  <c r="Y39" i="57" s="1"/>
  <c r="Z18" i="57" l="1"/>
  <c r="Q18" i="57" s="1"/>
  <c r="Z30" i="57"/>
  <c r="Z26" i="57"/>
  <c r="Z15" i="57"/>
  <c r="Q15" i="57" s="1"/>
  <c r="Z12" i="57"/>
  <c r="Q12" i="57" s="1"/>
  <c r="Z39" i="57"/>
  <c r="Z33" i="57"/>
  <c r="Z23" i="57"/>
  <c r="Q23" i="57" s="1"/>
  <c r="Z36" i="57"/>
  <c r="AN66" i="31"/>
  <c r="AL66" i="31"/>
  <c r="AJ66" i="31"/>
  <c r="AN65" i="31"/>
  <c r="AL65" i="31"/>
  <c r="AJ65" i="31"/>
  <c r="AN64" i="31"/>
  <c r="AL64" i="31"/>
  <c r="AJ64" i="31"/>
  <c r="AN63" i="31"/>
  <c r="AL63" i="31"/>
  <c r="AJ63" i="31"/>
  <c r="AN62" i="31"/>
  <c r="AL62" i="31"/>
  <c r="AJ62" i="31"/>
  <c r="AN61" i="31"/>
  <c r="AL61" i="31"/>
  <c r="AJ61" i="31"/>
  <c r="AN60" i="31"/>
  <c r="AL60" i="31"/>
  <c r="AJ60" i="31"/>
  <c r="AN59" i="31"/>
  <c r="AL59" i="31"/>
  <c r="AJ59" i="31"/>
  <c r="AN58" i="31"/>
  <c r="AL58" i="31"/>
  <c r="AJ58" i="31"/>
  <c r="AN57" i="31"/>
  <c r="AL57" i="31"/>
  <c r="AJ57" i="31"/>
  <c r="AN56" i="31"/>
  <c r="AL56" i="31"/>
  <c r="AJ56" i="31"/>
  <c r="AN55" i="31"/>
  <c r="AL55" i="31"/>
  <c r="AJ55" i="31"/>
  <c r="AN54" i="31"/>
  <c r="AL54" i="31"/>
  <c r="AJ54" i="31"/>
  <c r="AN53" i="31"/>
  <c r="AL53" i="31"/>
  <c r="AJ53" i="31"/>
  <c r="AN52" i="31"/>
  <c r="AL52" i="31"/>
  <c r="AJ52" i="31"/>
  <c r="AN51" i="31"/>
  <c r="AL51" i="31"/>
  <c r="AJ51" i="31"/>
  <c r="AN50" i="31"/>
  <c r="AL50" i="31"/>
  <c r="AJ50" i="31"/>
  <c r="AN49" i="31"/>
  <c r="AL49" i="31"/>
  <c r="AJ49" i="31"/>
  <c r="AN48" i="31"/>
  <c r="AL48" i="31"/>
  <c r="AJ48" i="31"/>
  <c r="AN47" i="31"/>
  <c r="AL47" i="31"/>
  <c r="AJ47" i="31"/>
  <c r="AN46" i="31"/>
  <c r="AL46" i="31"/>
  <c r="AJ46" i="31"/>
  <c r="AN45" i="31"/>
  <c r="AL45" i="31"/>
  <c r="AJ45" i="31"/>
  <c r="AN44" i="31"/>
  <c r="AL44" i="31"/>
  <c r="AJ44" i="31"/>
  <c r="AN43" i="31"/>
  <c r="AL43" i="31"/>
  <c r="AJ43" i="31"/>
  <c r="AN42" i="31"/>
  <c r="AL42" i="31"/>
  <c r="AJ42" i="31"/>
  <c r="AN41" i="31"/>
  <c r="AL41" i="31"/>
  <c r="AJ41" i="31"/>
  <c r="AN40" i="31"/>
  <c r="AL40" i="31"/>
  <c r="AJ40" i="31"/>
  <c r="AN39" i="31"/>
  <c r="AL39" i="31"/>
  <c r="AJ39" i="31"/>
  <c r="AN38" i="31"/>
  <c r="AL38" i="31"/>
  <c r="AJ38" i="31"/>
  <c r="AN37" i="31"/>
  <c r="AL37" i="31"/>
  <c r="AJ37" i="31"/>
  <c r="AN36" i="31"/>
  <c r="AL36" i="31"/>
  <c r="AJ36" i="31"/>
  <c r="AN35" i="31"/>
  <c r="AL35" i="31"/>
  <c r="AJ35" i="31"/>
  <c r="AN34" i="31"/>
  <c r="AL34" i="31"/>
  <c r="AJ34" i="31"/>
  <c r="AN33" i="31"/>
  <c r="AL33" i="31"/>
  <c r="AJ33" i="31"/>
  <c r="AN32" i="31"/>
  <c r="AL32" i="31"/>
  <c r="AJ32" i="31"/>
  <c r="AN31" i="31"/>
  <c r="AL31" i="31"/>
  <c r="AJ31" i="31"/>
  <c r="AN30" i="31"/>
  <c r="AL30" i="31"/>
  <c r="AJ30" i="31"/>
  <c r="AN29" i="31"/>
  <c r="AL29" i="31"/>
  <c r="AJ29" i="31"/>
  <c r="AN28" i="31"/>
  <c r="AL28" i="31"/>
  <c r="AJ28" i="31"/>
  <c r="AN27" i="31"/>
  <c r="AL27" i="31"/>
  <c r="AJ27" i="31"/>
  <c r="AN26" i="31"/>
  <c r="AL26" i="31"/>
  <c r="AJ26" i="31"/>
  <c r="AN25" i="31"/>
  <c r="AL25" i="31"/>
  <c r="AJ25" i="31"/>
  <c r="AN24" i="31"/>
  <c r="AL24" i="31"/>
  <c r="AJ24" i="31"/>
  <c r="G23" i="31"/>
  <c r="Q20" i="31"/>
  <c r="L20" i="31"/>
  <c r="G20" i="31"/>
  <c r="AF18" i="31"/>
  <c r="AE18" i="31"/>
  <c r="AF17" i="31"/>
  <c r="AE17" i="31"/>
  <c r="L17" i="31"/>
  <c r="L19" i="31" s="1"/>
  <c r="W15" i="31"/>
  <c r="G15" i="31"/>
  <c r="J15" i="31" s="1"/>
  <c r="G12" i="31"/>
  <c r="G3" i="6" s="1"/>
  <c r="Q11" i="31"/>
  <c r="Q13" i="31" s="1"/>
  <c r="L11" i="31"/>
  <c r="L8" i="31"/>
  <c r="H4" i="31"/>
  <c r="I63" i="29"/>
  <c r="L62" i="29"/>
  <c r="I62" i="29"/>
  <c r="I61" i="29"/>
  <c r="K60" i="29"/>
  <c r="I60" i="29"/>
  <c r="I59" i="29"/>
  <c r="I58" i="29"/>
  <c r="I57" i="29"/>
  <c r="I56" i="29"/>
  <c r="L55" i="29"/>
  <c r="I55" i="29"/>
  <c r="L54" i="29"/>
  <c r="I54" i="29"/>
  <c r="I53" i="29"/>
  <c r="I52" i="29"/>
  <c r="I51" i="29"/>
  <c r="I50" i="29"/>
  <c r="I49" i="29"/>
  <c r="I48" i="29"/>
  <c r="I47" i="29"/>
  <c r="I46" i="29"/>
  <c r="I45" i="29"/>
  <c r="I44" i="29"/>
  <c r="I43" i="29"/>
  <c r="I42" i="29"/>
  <c r="I41" i="29"/>
  <c r="I40" i="29"/>
  <c r="I39" i="29"/>
  <c r="I38" i="29"/>
  <c r="I37" i="29"/>
  <c r="AA36" i="29"/>
  <c r="L36" i="29"/>
  <c r="I36" i="29"/>
  <c r="AA35" i="29"/>
  <c r="M35" i="29"/>
  <c r="M60" i="29" s="1"/>
  <c r="L35" i="29"/>
  <c r="L60" i="29" s="1"/>
  <c r="I35" i="29"/>
  <c r="I34" i="29"/>
  <c r="I33" i="29"/>
  <c r="AA32" i="29"/>
  <c r="I32" i="29"/>
  <c r="I31" i="29"/>
  <c r="M30" i="29"/>
  <c r="I30" i="29"/>
  <c r="I29" i="29"/>
  <c r="I28" i="29"/>
  <c r="I27" i="29"/>
  <c r="I26" i="29"/>
  <c r="I25" i="29"/>
  <c r="I24" i="29"/>
  <c r="M23" i="29"/>
  <c r="I23" i="29"/>
  <c r="M22" i="29"/>
  <c r="I22" i="29"/>
  <c r="I21" i="29"/>
  <c r="I20" i="29"/>
  <c r="I19" i="29"/>
  <c r="I18" i="29"/>
  <c r="I17" i="29"/>
  <c r="I16" i="29"/>
  <c r="I15" i="29"/>
  <c r="I14" i="29"/>
  <c r="I13" i="29"/>
  <c r="I12" i="29"/>
  <c r="I11" i="29"/>
  <c r="I10" i="29"/>
  <c r="I9" i="29"/>
  <c r="I8" i="29"/>
  <c r="M7" i="29"/>
  <c r="I7" i="29"/>
  <c r="I6" i="29"/>
  <c r="W5" i="29"/>
  <c r="AL19" i="45" s="1"/>
  <c r="I5" i="29"/>
  <c r="I4" i="29"/>
  <c r="I3" i="29"/>
  <c r="T8" i="31" s="1"/>
  <c r="I2" i="29"/>
  <c r="R35" i="45"/>
  <c r="CJ31" i="45"/>
  <c r="CH31" i="45"/>
  <c r="CG31" i="45"/>
  <c r="CE31" i="45"/>
  <c r="CJ30" i="45"/>
  <c r="CH30" i="45"/>
  <c r="CG30" i="45"/>
  <c r="CF30" i="45"/>
  <c r="CE30" i="45"/>
  <c r="CJ29" i="45"/>
  <c r="CH29" i="45"/>
  <c r="CG29" i="45"/>
  <c r="CF29" i="45"/>
  <c r="CE29" i="45"/>
  <c r="CJ28" i="45"/>
  <c r="CH28" i="45"/>
  <c r="CG28" i="45"/>
  <c r="CF28" i="45"/>
  <c r="CE28" i="45"/>
  <c r="CJ27" i="45"/>
  <c r="CH27" i="45"/>
  <c r="CG27" i="45"/>
  <c r="CF27" i="45"/>
  <c r="CE27" i="45"/>
  <c r="CJ26" i="45"/>
  <c r="CH26" i="45"/>
  <c r="CG26" i="45"/>
  <c r="CF26" i="45"/>
  <c r="CE26" i="45"/>
  <c r="O26" i="45"/>
  <c r="O35" i="45" s="1"/>
  <c r="A34" i="45" s="1"/>
  <c r="CJ25" i="45"/>
  <c r="CH25" i="45"/>
  <c r="CG25" i="45"/>
  <c r="CF25" i="45"/>
  <c r="CE25" i="45"/>
  <c r="AL25" i="45"/>
  <c r="AK25" i="45"/>
  <c r="AJ25" i="45"/>
  <c r="AI25" i="45"/>
  <c r="AH25" i="45"/>
  <c r="AG25" i="45"/>
  <c r="A25" i="45"/>
  <c r="CJ24" i="45"/>
  <c r="CH24" i="45"/>
  <c r="CG24" i="45"/>
  <c r="CF24" i="45"/>
  <c r="CE24" i="45"/>
  <c r="CJ23" i="45"/>
  <c r="CH23" i="45"/>
  <c r="CG23" i="45"/>
  <c r="CF23" i="45"/>
  <c r="CE23" i="45"/>
  <c r="O23" i="45"/>
  <c r="O32" i="45" s="1"/>
  <c r="L32" i="45" s="1"/>
  <c r="I32" i="45" s="1"/>
  <c r="CJ22" i="45"/>
  <c r="CH22" i="45"/>
  <c r="CG22" i="45"/>
  <c r="CF22" i="45"/>
  <c r="CE22" i="45"/>
  <c r="AL22" i="45"/>
  <c r="AK22" i="45"/>
  <c r="AJ22" i="45"/>
  <c r="AI22" i="45"/>
  <c r="AH22" i="45"/>
  <c r="AG22" i="45"/>
  <c r="CJ21" i="45"/>
  <c r="CH21" i="45"/>
  <c r="CG21" i="45"/>
  <c r="CF21" i="45"/>
  <c r="CE21" i="45"/>
  <c r="CJ20" i="45"/>
  <c r="CH20" i="45"/>
  <c r="CG20" i="45"/>
  <c r="CF20" i="45"/>
  <c r="CE20" i="45"/>
  <c r="CJ19" i="45"/>
  <c r="CH19" i="45"/>
  <c r="CG19" i="45"/>
  <c r="CF19" i="45"/>
  <c r="CE19" i="45"/>
  <c r="AK19" i="45"/>
  <c r="AJ19" i="45"/>
  <c r="AI19" i="45"/>
  <c r="AG19" i="45"/>
  <c r="CJ18" i="45"/>
  <c r="CH18" i="45"/>
  <c r="CG18" i="45"/>
  <c r="CF18" i="45"/>
  <c r="CE18" i="45"/>
  <c r="AL18" i="45"/>
  <c r="AK18" i="45"/>
  <c r="AJ18" i="45"/>
  <c r="AI18" i="45"/>
  <c r="AH18" i="45"/>
  <c r="AG18" i="45"/>
  <c r="CJ17" i="45"/>
  <c r="CH17" i="45"/>
  <c r="CG17" i="45"/>
  <c r="CF17" i="45"/>
  <c r="CE17" i="45"/>
  <c r="CJ16" i="45"/>
  <c r="CH16" i="45"/>
  <c r="CG16" i="45"/>
  <c r="CF16" i="45"/>
  <c r="CE16" i="45"/>
  <c r="O16" i="45"/>
  <c r="CJ15" i="45"/>
  <c r="CH15" i="45"/>
  <c r="CG15" i="45"/>
  <c r="CF15" i="45"/>
  <c r="CE15" i="45"/>
  <c r="O15" i="45"/>
  <c r="CJ14" i="45"/>
  <c r="CH14" i="45"/>
  <c r="CG14" i="45"/>
  <c r="CF14" i="45"/>
  <c r="CE14" i="45"/>
  <c r="AF14" i="45"/>
  <c r="AE14" i="45"/>
  <c r="CH13" i="45"/>
  <c r="CG13" i="45"/>
  <c r="CF13" i="45"/>
  <c r="CE13" i="45"/>
  <c r="AF13" i="45"/>
  <c r="AE13" i="45"/>
  <c r="CH12" i="45"/>
  <c r="CG12" i="45"/>
  <c r="CF12" i="45"/>
  <c r="CE12" i="45"/>
  <c r="AF12" i="45"/>
  <c r="CH11" i="45"/>
  <c r="CG11" i="45"/>
  <c r="CF11" i="45"/>
  <c r="CE11" i="45"/>
  <c r="AF11" i="45"/>
  <c r="AE11" i="45"/>
  <c r="CH10" i="45"/>
  <c r="CG10" i="45"/>
  <c r="CF10" i="45"/>
  <c r="CE10" i="45"/>
  <c r="AF10" i="45"/>
  <c r="AE10" i="45"/>
  <c r="O10" i="45"/>
  <c r="CH9" i="45"/>
  <c r="CG9" i="45"/>
  <c r="CF9" i="45"/>
  <c r="CE9" i="45"/>
  <c r="AF9" i="45"/>
  <c r="AE9" i="45"/>
  <c r="O9" i="45"/>
  <c r="CJ8" i="45"/>
  <c r="CH8" i="45"/>
  <c r="CG8" i="45"/>
  <c r="CF8" i="45"/>
  <c r="CE8" i="45"/>
  <c r="AF8" i="45"/>
  <c r="AE8" i="45"/>
  <c r="CJ7" i="45"/>
  <c r="CH7" i="45"/>
  <c r="CF7" i="45"/>
  <c r="CE7" i="45"/>
  <c r="AF7" i="45"/>
  <c r="AE7" i="45"/>
  <c r="H4" i="45"/>
  <c r="R35" i="36"/>
  <c r="CJ31" i="36"/>
  <c r="CH31" i="36"/>
  <c r="CG31" i="36"/>
  <c r="CE31" i="36"/>
  <c r="CJ30" i="36"/>
  <c r="CH30" i="36"/>
  <c r="CG30" i="36"/>
  <c r="CF30" i="36"/>
  <c r="CE30" i="36"/>
  <c r="CJ29" i="36"/>
  <c r="CH29" i="36"/>
  <c r="CG29" i="36"/>
  <c r="CF29" i="36"/>
  <c r="CE29" i="36"/>
  <c r="CJ28" i="36"/>
  <c r="CH28" i="36"/>
  <c r="CG28" i="36"/>
  <c r="CF28" i="36"/>
  <c r="CE28" i="36"/>
  <c r="CJ27" i="36"/>
  <c r="CH27" i="36"/>
  <c r="CG27" i="36"/>
  <c r="CF27" i="36"/>
  <c r="CE27" i="36"/>
  <c r="CJ26" i="36"/>
  <c r="CH26" i="36"/>
  <c r="CG26" i="36"/>
  <c r="CF26" i="36"/>
  <c r="CE26" i="36"/>
  <c r="O26" i="36"/>
  <c r="O35" i="36" s="1"/>
  <c r="A34" i="36" s="1"/>
  <c r="CJ25" i="36"/>
  <c r="CH25" i="36"/>
  <c r="CG25" i="36"/>
  <c r="CF25" i="36"/>
  <c r="CE25" i="36"/>
  <c r="AL25" i="36"/>
  <c r="AK25" i="36"/>
  <c r="AJ25" i="36"/>
  <c r="AI25" i="36"/>
  <c r="AH25" i="36"/>
  <c r="AG25" i="36"/>
  <c r="A25" i="36"/>
  <c r="CJ24" i="36"/>
  <c r="CH24" i="36"/>
  <c r="CG24" i="36"/>
  <c r="CF24" i="36"/>
  <c r="CE24" i="36"/>
  <c r="CJ23" i="36"/>
  <c r="CH23" i="36"/>
  <c r="CG23" i="36"/>
  <c r="CF23" i="36"/>
  <c r="CE23" i="36"/>
  <c r="O23" i="36"/>
  <c r="R23" i="36" s="1"/>
  <c r="U23" i="36" s="1"/>
  <c r="X23" i="36" s="1"/>
  <c r="CJ22" i="36"/>
  <c r="CH22" i="36"/>
  <c r="CG22" i="36"/>
  <c r="CF22" i="36"/>
  <c r="CE22" i="36"/>
  <c r="AL22" i="36"/>
  <c r="AK22" i="36"/>
  <c r="AJ22" i="36"/>
  <c r="AI22" i="36"/>
  <c r="AH22" i="36"/>
  <c r="AG22" i="36"/>
  <c r="CJ21" i="36"/>
  <c r="CH21" i="36"/>
  <c r="CG21" i="36"/>
  <c r="CF21" i="36"/>
  <c r="CE21" i="36"/>
  <c r="CJ20" i="36"/>
  <c r="CH20" i="36"/>
  <c r="CG20" i="36"/>
  <c r="CF20" i="36"/>
  <c r="CE20" i="36"/>
  <c r="CJ19" i="36"/>
  <c r="CH19" i="36"/>
  <c r="CG19" i="36"/>
  <c r="CF19" i="36"/>
  <c r="CE19" i="36"/>
  <c r="AL19" i="36"/>
  <c r="AK19" i="36"/>
  <c r="AJ19" i="36"/>
  <c r="AI19" i="36"/>
  <c r="AH19" i="36"/>
  <c r="AG19" i="36"/>
  <c r="CJ18" i="36"/>
  <c r="CH18" i="36"/>
  <c r="CG18" i="36"/>
  <c r="CF18" i="36"/>
  <c r="CE18" i="36"/>
  <c r="AL18" i="36"/>
  <c r="AK18" i="36"/>
  <c r="AJ18" i="36"/>
  <c r="AI18" i="36"/>
  <c r="AH18" i="36"/>
  <c r="AG18" i="36"/>
  <c r="CJ17" i="36"/>
  <c r="CH17" i="36"/>
  <c r="CG17" i="36"/>
  <c r="CF17" i="36"/>
  <c r="CE17" i="36"/>
  <c r="CJ16" i="36"/>
  <c r="CH16" i="36"/>
  <c r="CG16" i="36"/>
  <c r="CF16" i="36"/>
  <c r="CE16" i="36"/>
  <c r="O16" i="36"/>
  <c r="CJ15" i="36"/>
  <c r="CH15" i="36"/>
  <c r="CG15" i="36"/>
  <c r="CF15" i="36"/>
  <c r="CE15" i="36"/>
  <c r="O15" i="36"/>
  <c r="R15" i="36" s="1"/>
  <c r="U15" i="36" s="1"/>
  <c r="X15" i="36" s="1"/>
  <c r="CJ14" i="36"/>
  <c r="CH14" i="36"/>
  <c r="CG14" i="36"/>
  <c r="CF14" i="36"/>
  <c r="CE14" i="36"/>
  <c r="AF14" i="36"/>
  <c r="AE14" i="36"/>
  <c r="CH13" i="36"/>
  <c r="CG13" i="36"/>
  <c r="CF13" i="36"/>
  <c r="CE13" i="36"/>
  <c r="AF13" i="36"/>
  <c r="AE13" i="36"/>
  <c r="CH12" i="36"/>
  <c r="CG12" i="36"/>
  <c r="CF12" i="36"/>
  <c r="CE12" i="36"/>
  <c r="AF12" i="36"/>
  <c r="CH11" i="36"/>
  <c r="CG11" i="36"/>
  <c r="CF11" i="36"/>
  <c r="CE11" i="36"/>
  <c r="AF11" i="36"/>
  <c r="AE11" i="36"/>
  <c r="CH10" i="36"/>
  <c r="CG10" i="36"/>
  <c r="CF10" i="36"/>
  <c r="CE10" i="36"/>
  <c r="AF10" i="36"/>
  <c r="AE10" i="36"/>
  <c r="O10" i="36"/>
  <c r="R10" i="36" s="1"/>
  <c r="CH9" i="36"/>
  <c r="CG9" i="36"/>
  <c r="CF9" i="36"/>
  <c r="CE9" i="36"/>
  <c r="AF9" i="36"/>
  <c r="AE9" i="36"/>
  <c r="O9" i="36"/>
  <c r="AI5" i="36" s="1"/>
  <c r="CJ8" i="36"/>
  <c r="CH8" i="36"/>
  <c r="CG8" i="36"/>
  <c r="CF8" i="36"/>
  <c r="CE8" i="36"/>
  <c r="AF8" i="36"/>
  <c r="AE8" i="36"/>
  <c r="CJ7" i="36"/>
  <c r="CH7" i="36"/>
  <c r="CF7" i="36"/>
  <c r="CE7" i="36"/>
  <c r="AF7" i="36"/>
  <c r="AE7" i="36"/>
  <c r="H4" i="36"/>
  <c r="R35" i="21"/>
  <c r="CJ31" i="21"/>
  <c r="CH31" i="21"/>
  <c r="CG31" i="21"/>
  <c r="CE31" i="21"/>
  <c r="CJ30" i="21"/>
  <c r="CH30" i="21"/>
  <c r="CG30" i="21"/>
  <c r="CF30" i="21"/>
  <c r="CE30" i="21"/>
  <c r="CJ29" i="21"/>
  <c r="CH29" i="21"/>
  <c r="CG29" i="21"/>
  <c r="CF29" i="21"/>
  <c r="CE29" i="21"/>
  <c r="CJ28" i="21"/>
  <c r="CH28" i="21"/>
  <c r="CG28" i="21"/>
  <c r="CF28" i="21"/>
  <c r="CE28" i="21"/>
  <c r="CJ27" i="21"/>
  <c r="CH27" i="21"/>
  <c r="CG27" i="21"/>
  <c r="CF27" i="21"/>
  <c r="CE27" i="21"/>
  <c r="CJ26" i="21"/>
  <c r="CH26" i="21"/>
  <c r="CG26" i="21"/>
  <c r="CF26" i="21"/>
  <c r="CE26" i="21"/>
  <c r="O26" i="21"/>
  <c r="O35" i="21" s="1"/>
  <c r="A34" i="21" s="1"/>
  <c r="CJ25" i="21"/>
  <c r="CH25" i="21"/>
  <c r="CG25" i="21"/>
  <c r="CF25" i="21"/>
  <c r="CE25" i="21"/>
  <c r="AL25" i="21"/>
  <c r="AK25" i="21"/>
  <c r="AJ25" i="21"/>
  <c r="AI25" i="21"/>
  <c r="AH25" i="21"/>
  <c r="AG25" i="21"/>
  <c r="A25" i="21"/>
  <c r="CJ24" i="21"/>
  <c r="CH24" i="21"/>
  <c r="CG24" i="21"/>
  <c r="CF24" i="21"/>
  <c r="CE24" i="21"/>
  <c r="CJ23" i="21"/>
  <c r="CH23" i="21"/>
  <c r="CG23" i="21"/>
  <c r="CF23" i="21"/>
  <c r="CE23" i="21"/>
  <c r="O23" i="21"/>
  <c r="L23" i="21" s="1"/>
  <c r="I23" i="21" s="1"/>
  <c r="CJ22" i="21"/>
  <c r="CH22" i="21"/>
  <c r="CG22" i="21"/>
  <c r="CF22" i="21"/>
  <c r="CE22" i="21"/>
  <c r="AL22" i="21"/>
  <c r="AK22" i="21"/>
  <c r="AJ22" i="21"/>
  <c r="AI22" i="21"/>
  <c r="AH22" i="21"/>
  <c r="AG22" i="21"/>
  <c r="CJ21" i="21"/>
  <c r="CH21" i="21"/>
  <c r="CG21" i="21"/>
  <c r="CF21" i="21"/>
  <c r="CE21" i="21"/>
  <c r="CJ20" i="21"/>
  <c r="CH20" i="21"/>
  <c r="CG20" i="21"/>
  <c r="CF20" i="21"/>
  <c r="CE20" i="21"/>
  <c r="CJ19" i="21"/>
  <c r="CH19" i="21"/>
  <c r="CG19" i="21"/>
  <c r="CF19" i="21"/>
  <c r="CE19" i="21"/>
  <c r="AL19" i="21"/>
  <c r="AK19" i="21"/>
  <c r="AJ19" i="21"/>
  <c r="AI19" i="21"/>
  <c r="AH19" i="21"/>
  <c r="AG19" i="21"/>
  <c r="CJ18" i="21"/>
  <c r="CH18" i="21"/>
  <c r="CG18" i="21"/>
  <c r="CF18" i="21"/>
  <c r="CE18" i="21"/>
  <c r="AL18" i="21"/>
  <c r="AK18" i="21"/>
  <c r="AJ18" i="21"/>
  <c r="AI18" i="21"/>
  <c r="AH18" i="21"/>
  <c r="AG18" i="21"/>
  <c r="CJ17" i="21"/>
  <c r="CH17" i="21"/>
  <c r="CG17" i="21"/>
  <c r="CF17" i="21"/>
  <c r="CE17" i="21"/>
  <c r="CJ16" i="21"/>
  <c r="CH16" i="21"/>
  <c r="CG16" i="21"/>
  <c r="CF16" i="21"/>
  <c r="CE16" i="21"/>
  <c r="O16" i="21"/>
  <c r="CJ15" i="21"/>
  <c r="CH15" i="21"/>
  <c r="CG15" i="21"/>
  <c r="CF15" i="21"/>
  <c r="CE15" i="21"/>
  <c r="O15" i="21"/>
  <c r="R15" i="21" s="1"/>
  <c r="U15" i="21" s="1"/>
  <c r="X15" i="21" s="1"/>
  <c r="CJ14" i="21"/>
  <c r="CH14" i="21"/>
  <c r="CG14" i="21"/>
  <c r="CF14" i="21"/>
  <c r="CE14" i="21"/>
  <c r="AF14" i="21"/>
  <c r="AE14" i="21"/>
  <c r="CH13" i="21"/>
  <c r="CG13" i="21"/>
  <c r="CF13" i="21"/>
  <c r="CE13" i="21"/>
  <c r="AF13" i="21"/>
  <c r="AE13" i="21"/>
  <c r="CH12" i="21"/>
  <c r="CG12" i="21"/>
  <c r="CF12" i="21"/>
  <c r="CE12" i="21"/>
  <c r="AF12" i="21"/>
  <c r="CH11" i="21"/>
  <c r="CG11" i="21"/>
  <c r="CF11" i="21"/>
  <c r="CE11" i="21"/>
  <c r="AF11" i="21"/>
  <c r="AE11" i="21"/>
  <c r="CH10" i="21"/>
  <c r="CG10" i="21"/>
  <c r="CF10" i="21"/>
  <c r="CE10" i="21"/>
  <c r="AF10" i="21"/>
  <c r="AE10" i="21"/>
  <c r="O10" i="21"/>
  <c r="CH9" i="21"/>
  <c r="CG9" i="21"/>
  <c r="CF9" i="21"/>
  <c r="CE9" i="21"/>
  <c r="AF9" i="21"/>
  <c r="AE9" i="21"/>
  <c r="O9" i="21"/>
  <c r="R9" i="21" s="1"/>
  <c r="CJ8" i="21"/>
  <c r="CH8" i="21"/>
  <c r="CG8" i="21"/>
  <c r="CF8" i="21"/>
  <c r="CE8" i="21"/>
  <c r="AF8" i="21"/>
  <c r="AE8" i="21"/>
  <c r="CJ7" i="21"/>
  <c r="CH7" i="21"/>
  <c r="CF7" i="21"/>
  <c r="CE7" i="21"/>
  <c r="AF7" i="21"/>
  <c r="AE7" i="21"/>
  <c r="H4" i="21"/>
  <c r="CJ31" i="20"/>
  <c r="CH31" i="20"/>
  <c r="CG31" i="20"/>
  <c r="CE31" i="20"/>
  <c r="CJ30" i="20"/>
  <c r="CH30" i="20"/>
  <c r="CG30" i="20"/>
  <c r="CF30" i="20"/>
  <c r="CE30" i="20"/>
  <c r="CJ29" i="20"/>
  <c r="CH29" i="20"/>
  <c r="CG29" i="20"/>
  <c r="CF29" i="20"/>
  <c r="CE29" i="20"/>
  <c r="CJ28" i="20"/>
  <c r="CH28" i="20"/>
  <c r="CG28" i="20"/>
  <c r="CF28" i="20"/>
  <c r="CE28" i="20"/>
  <c r="CJ27" i="20"/>
  <c r="CH27" i="20"/>
  <c r="CG27" i="20"/>
  <c r="CF27" i="20"/>
  <c r="CE27" i="20"/>
  <c r="CJ26" i="20"/>
  <c r="CH26" i="20"/>
  <c r="CG26" i="20"/>
  <c r="CF26" i="20"/>
  <c r="CE26" i="20"/>
  <c r="O26" i="20"/>
  <c r="O35" i="20" s="1"/>
  <c r="A34" i="20" s="1"/>
  <c r="CJ25" i="20"/>
  <c r="CH25" i="20"/>
  <c r="CG25" i="20"/>
  <c r="CF25" i="20"/>
  <c r="CE25" i="20"/>
  <c r="AL25" i="20"/>
  <c r="AK25" i="20"/>
  <c r="AJ25" i="20"/>
  <c r="AI25" i="20"/>
  <c r="AH25" i="20"/>
  <c r="AG25" i="20"/>
  <c r="A25" i="20"/>
  <c r="CJ24" i="20"/>
  <c r="CH24" i="20"/>
  <c r="CG24" i="20"/>
  <c r="CF24" i="20"/>
  <c r="CE24" i="20"/>
  <c r="CJ23" i="20"/>
  <c r="CH23" i="20"/>
  <c r="CG23" i="20"/>
  <c r="CF23" i="20"/>
  <c r="CE23" i="20"/>
  <c r="O23" i="20"/>
  <c r="O32" i="20" s="1"/>
  <c r="CJ22" i="20"/>
  <c r="CH22" i="20"/>
  <c r="CG22" i="20"/>
  <c r="CF22" i="20"/>
  <c r="CE22" i="20"/>
  <c r="AL22" i="20"/>
  <c r="AK22" i="20"/>
  <c r="AJ22" i="20"/>
  <c r="AI22" i="20"/>
  <c r="AH22" i="20"/>
  <c r="AG22" i="20"/>
  <c r="CJ21" i="20"/>
  <c r="CH21" i="20"/>
  <c r="CG21" i="20"/>
  <c r="CF21" i="20"/>
  <c r="CE21" i="20"/>
  <c r="CJ20" i="20"/>
  <c r="CH20" i="20"/>
  <c r="CG20" i="20"/>
  <c r="CF20" i="20"/>
  <c r="CE20" i="20"/>
  <c r="CJ19" i="20"/>
  <c r="CH19" i="20"/>
  <c r="CG19" i="20"/>
  <c r="CF19" i="20"/>
  <c r="CE19" i="20"/>
  <c r="AL19" i="20"/>
  <c r="AK19" i="20"/>
  <c r="AJ19" i="20"/>
  <c r="AI19" i="20"/>
  <c r="AH19" i="20"/>
  <c r="AG19" i="20"/>
  <c r="CJ18" i="20"/>
  <c r="CH18" i="20"/>
  <c r="CG18" i="20"/>
  <c r="CF18" i="20"/>
  <c r="CE18" i="20"/>
  <c r="AL18" i="20"/>
  <c r="AK18" i="20"/>
  <c r="AJ18" i="20"/>
  <c r="AI18" i="20"/>
  <c r="AH18" i="20"/>
  <c r="AG18" i="20"/>
  <c r="CJ17" i="20"/>
  <c r="CH17" i="20"/>
  <c r="CG17" i="20"/>
  <c r="CF17" i="20"/>
  <c r="CE17" i="20"/>
  <c r="CJ16" i="20"/>
  <c r="CH16" i="20"/>
  <c r="CG16" i="20"/>
  <c r="CF16" i="20"/>
  <c r="CE16" i="20"/>
  <c r="O16" i="20"/>
  <c r="CJ15" i="20"/>
  <c r="CH15" i="20"/>
  <c r="CG15" i="20"/>
  <c r="CF15" i="20"/>
  <c r="CE15" i="20"/>
  <c r="O15" i="20"/>
  <c r="R15" i="20" s="1"/>
  <c r="U15" i="20" s="1"/>
  <c r="X15" i="20" s="1"/>
  <c r="CJ14" i="20"/>
  <c r="CH14" i="20"/>
  <c r="CG14" i="20"/>
  <c r="CF14" i="20"/>
  <c r="CE14" i="20"/>
  <c r="AF14" i="20"/>
  <c r="AE14" i="20"/>
  <c r="CH13" i="20"/>
  <c r="CG13" i="20"/>
  <c r="CF13" i="20"/>
  <c r="CE13" i="20"/>
  <c r="AF13" i="20"/>
  <c r="AE13" i="20"/>
  <c r="CH12" i="20"/>
  <c r="CG12" i="20"/>
  <c r="CF12" i="20"/>
  <c r="CE12" i="20"/>
  <c r="AF12" i="20"/>
  <c r="CH11" i="20"/>
  <c r="CG11" i="20"/>
  <c r="CF11" i="20"/>
  <c r="CE11" i="20"/>
  <c r="AF11" i="20"/>
  <c r="AE11" i="20"/>
  <c r="CH10" i="20"/>
  <c r="CG10" i="20"/>
  <c r="CF10" i="20"/>
  <c r="CE10" i="20"/>
  <c r="AF10" i="20"/>
  <c r="AE10" i="20"/>
  <c r="O10" i="20"/>
  <c r="O13" i="20" s="1"/>
  <c r="CH9" i="20"/>
  <c r="CG9" i="20"/>
  <c r="CF9" i="20"/>
  <c r="CE9" i="20"/>
  <c r="AF9" i="20"/>
  <c r="AE9" i="20"/>
  <c r="O9" i="20"/>
  <c r="AI5" i="20" s="1"/>
  <c r="AI16" i="20" s="1"/>
  <c r="AI23" i="20" s="1"/>
  <c r="CJ8" i="20"/>
  <c r="CH8" i="20"/>
  <c r="CG8" i="20"/>
  <c r="CF8" i="20"/>
  <c r="CE8" i="20"/>
  <c r="AF8" i="20"/>
  <c r="AE8" i="20"/>
  <c r="CJ7" i="20"/>
  <c r="CH7" i="20"/>
  <c r="CF7" i="20"/>
  <c r="CE7" i="20"/>
  <c r="AF7" i="20"/>
  <c r="AE7" i="20"/>
  <c r="H4" i="20"/>
  <c r="P15" i="77"/>
  <c r="O15" i="77"/>
  <c r="N15" i="77"/>
  <c r="M15" i="77"/>
  <c r="L15" i="77"/>
  <c r="K15" i="77"/>
  <c r="B48" i="54"/>
  <c r="B47" i="54"/>
  <c r="C46" i="54"/>
  <c r="B46" i="54"/>
  <c r="C37" i="54"/>
  <c r="G28" i="54"/>
  <c r="F28" i="54"/>
  <c r="E28" i="54"/>
  <c r="D28" i="54"/>
  <c r="C25" i="54"/>
  <c r="C24" i="54"/>
  <c r="E9" i="54"/>
  <c r="C27" i="54" s="1"/>
  <c r="E4" i="54"/>
  <c r="I2" i="54"/>
  <c r="R21" i="56"/>
  <c r="R23" i="56" s="1"/>
  <c r="M17" i="56"/>
  <c r="M15" i="56"/>
  <c r="B8" i="56"/>
  <c r="CC4" i="56"/>
  <c r="CC5" i="56" s="1"/>
  <c r="J59" i="24"/>
  <c r="I59" i="24"/>
  <c r="C59" i="24"/>
  <c r="B59" i="24"/>
  <c r="I57" i="24"/>
  <c r="B57" i="24"/>
  <c r="J56" i="24"/>
  <c r="I56" i="24"/>
  <c r="C56" i="24"/>
  <c r="B56" i="24"/>
  <c r="I54" i="24"/>
  <c r="B54" i="24"/>
  <c r="J53" i="24"/>
  <c r="I53" i="24"/>
  <c r="C53" i="24"/>
  <c r="B53" i="24"/>
  <c r="I52" i="24"/>
  <c r="B52" i="24"/>
  <c r="J51" i="24"/>
  <c r="K23" i="24" s="1"/>
  <c r="K59" i="24" s="1"/>
  <c r="L59" i="24" s="1"/>
  <c r="I51" i="24"/>
  <c r="B51" i="24"/>
  <c r="CN37" i="24"/>
  <c r="CL37" i="24"/>
  <c r="L35" i="24"/>
  <c r="CL34" i="24"/>
  <c r="CJ34" i="24"/>
  <c r="K56" i="24" s="1"/>
  <c r="K34" i="24"/>
  <c r="O34" i="24" s="1"/>
  <c r="CI32" i="24"/>
  <c r="J13" i="24" s="1"/>
  <c r="CM23" i="24"/>
  <c r="CL23" i="24"/>
  <c r="CN22" i="24"/>
  <c r="CN38" i="24" s="1"/>
  <c r="CM22" i="24"/>
  <c r="CM38" i="24" s="1"/>
  <c r="CL22" i="24"/>
  <c r="CL38" i="24" s="1"/>
  <c r="CN21" i="24"/>
  <c r="CM21" i="24"/>
  <c r="CM37" i="24" s="1"/>
  <c r="CL21" i="24"/>
  <c r="CN20" i="24"/>
  <c r="CN36" i="24" s="1"/>
  <c r="CM20" i="24"/>
  <c r="CM36" i="24" s="1"/>
  <c r="CL20" i="24"/>
  <c r="CL36" i="24" s="1"/>
  <c r="CN19" i="24"/>
  <c r="CN35" i="24" s="1"/>
  <c r="CM19" i="24"/>
  <c r="CM35" i="24" s="1"/>
  <c r="CL19" i="24"/>
  <c r="CL35" i="24" s="1"/>
  <c r="CN18" i="24"/>
  <c r="CN34" i="24" s="1"/>
  <c r="CM18" i="24"/>
  <c r="CM34" i="24" s="1"/>
  <c r="CL18" i="24"/>
  <c r="CJ18" i="24"/>
  <c r="C51" i="24" s="1"/>
  <c r="L18" i="24"/>
  <c r="L21" i="24" s="1"/>
  <c r="J18" i="24"/>
  <c r="J54" i="24" s="1"/>
  <c r="M18" i="24" s="1"/>
  <c r="E18" i="24"/>
  <c r="E21" i="24" s="1"/>
  <c r="C18" i="24"/>
  <c r="C54" i="24" s="1"/>
  <c r="CL17" i="24"/>
  <c r="CI16" i="24"/>
  <c r="C13" i="24" s="1"/>
  <c r="L16" i="24"/>
  <c r="J16" i="24"/>
  <c r="J52" i="24" s="1"/>
  <c r="C16" i="24"/>
  <c r="C52" i="24" s="1"/>
  <c r="L12" i="24"/>
  <c r="L11" i="24"/>
  <c r="E11" i="24"/>
  <c r="E35" i="24" s="1"/>
  <c r="N36" i="24" s="1"/>
  <c r="I4" i="24"/>
  <c r="H1" i="24"/>
  <c r="P35" i="61"/>
  <c r="P32" i="61"/>
  <c r="P33" i="61" s="1"/>
  <c r="P36" i="61" s="1"/>
  <c r="P25" i="61"/>
  <c r="G25" i="61"/>
  <c r="U24" i="61"/>
  <c r="P24" i="61"/>
  <c r="U23" i="61"/>
  <c r="S23" i="61"/>
  <c r="P23" i="61"/>
  <c r="G23" i="61"/>
  <c r="S22" i="61"/>
  <c r="S21" i="61"/>
  <c r="S20" i="61"/>
  <c r="J20" i="61"/>
  <c r="S19" i="61"/>
  <c r="J19" i="61"/>
  <c r="S18" i="61"/>
  <c r="J18" i="61"/>
  <c r="S17" i="61"/>
  <c r="J17" i="61"/>
  <c r="S16" i="61"/>
  <c r="J16" i="61"/>
  <c r="S15" i="61"/>
  <c r="J15" i="61"/>
  <c r="S14" i="61"/>
  <c r="J14" i="61"/>
  <c r="S13" i="61"/>
  <c r="P11" i="61"/>
  <c r="G11" i="61"/>
  <c r="A10" i="61"/>
  <c r="A8" i="61"/>
  <c r="G4" i="61"/>
  <c r="V3" i="61"/>
  <c r="H58" i="33"/>
  <c r="H57" i="33"/>
  <c r="H56" i="33"/>
  <c r="H55" i="33"/>
  <c r="H54" i="33"/>
  <c r="H53" i="33"/>
  <c r="H51" i="33"/>
  <c r="H50" i="33"/>
  <c r="H49" i="33"/>
  <c r="H48" i="33"/>
  <c r="H47" i="33"/>
  <c r="H46" i="33"/>
  <c r="H45" i="33"/>
  <c r="H42" i="33"/>
  <c r="H41" i="33"/>
  <c r="H40" i="33"/>
  <c r="H39" i="33"/>
  <c r="H38" i="33"/>
  <c r="H37" i="33"/>
  <c r="H36" i="33"/>
  <c r="H35" i="33"/>
  <c r="H33" i="33"/>
  <c r="H32" i="33"/>
  <c r="H31" i="33"/>
  <c r="H30" i="33"/>
  <c r="H28" i="33"/>
  <c r="H27" i="33"/>
  <c r="H26" i="33"/>
  <c r="H25" i="33"/>
  <c r="H24" i="33"/>
  <c r="H23" i="33"/>
  <c r="H22" i="33"/>
  <c r="H21" i="33"/>
  <c r="Q24" i="50"/>
  <c r="Q20" i="50"/>
  <c r="I40" i="48"/>
  <c r="S15" i="48"/>
  <c r="M15" i="48"/>
  <c r="G15" i="48"/>
  <c r="S14" i="48"/>
  <c r="M14" i="48"/>
  <c r="G14" i="48"/>
  <c r="G19" i="48" s="1"/>
  <c r="S13" i="48"/>
  <c r="V13" i="48" s="1"/>
  <c r="M13" i="48"/>
  <c r="P13" i="48" s="1"/>
  <c r="G13" i="48"/>
  <c r="H4" i="48"/>
  <c r="CC14" i="32"/>
  <c r="CC13" i="32"/>
  <c r="CC12" i="32"/>
  <c r="CC11" i="32"/>
  <c r="BZ9" i="32"/>
  <c r="BY9" i="32"/>
  <c r="BZ8" i="32"/>
  <c r="BY8" i="32"/>
  <c r="BZ7" i="32"/>
  <c r="BY7" i="32"/>
  <c r="BZ6" i="32"/>
  <c r="BY6" i="32"/>
  <c r="BZ5" i="32"/>
  <c r="BY5" i="32"/>
  <c r="BW5" i="32"/>
  <c r="BT5" i="32" s="1"/>
  <c r="BT7" i="32" s="1"/>
  <c r="BV5" i="32"/>
  <c r="BU5" i="32"/>
  <c r="AJ4" i="32"/>
  <c r="T12" i="57"/>
  <c r="AB18" i="57"/>
  <c r="T18" i="57"/>
  <c r="AB15" i="57"/>
  <c r="T15" i="57"/>
  <c r="AB14" i="57"/>
  <c r="AB12" i="57"/>
  <c r="AB11" i="57"/>
  <c r="X9" i="57"/>
  <c r="Y9" i="57" s="1"/>
  <c r="X8" i="57"/>
  <c r="Y8" i="57" s="1"/>
  <c r="X7" i="57"/>
  <c r="Y7" i="57" s="1"/>
  <c r="Z7" i="57" s="1"/>
  <c r="I5" i="57"/>
  <c r="I4" i="57"/>
  <c r="T36" i="11"/>
  <c r="R36" i="11"/>
  <c r="N36" i="11"/>
  <c r="AR35" i="11"/>
  <c r="AN35" i="11"/>
  <c r="AL35" i="11"/>
  <c r="AK35" i="11"/>
  <c r="AJ35" i="11"/>
  <c r="AG35" i="11"/>
  <c r="X35" i="11"/>
  <c r="AS35" i="11" s="1"/>
  <c r="AS34" i="11"/>
  <c r="AR34" i="11"/>
  <c r="AN34" i="11"/>
  <c r="AL34" i="11"/>
  <c r="AK34" i="11"/>
  <c r="AJ34" i="11"/>
  <c r="AG34" i="11"/>
  <c r="AS33" i="11"/>
  <c r="AR33" i="11"/>
  <c r="AN33" i="11"/>
  <c r="AL33" i="11"/>
  <c r="AK33" i="11"/>
  <c r="AJ33" i="11"/>
  <c r="AG33" i="11"/>
  <c r="AR32" i="11"/>
  <c r="AN32" i="11"/>
  <c r="AL32" i="11"/>
  <c r="AK32" i="11"/>
  <c r="AS32" i="11" s="1"/>
  <c r="AJ32" i="11"/>
  <c r="AG32" i="11"/>
  <c r="AR31" i="11"/>
  <c r="AN31" i="11"/>
  <c r="AL31" i="11"/>
  <c r="AK31" i="11"/>
  <c r="AS31" i="11" s="1"/>
  <c r="AJ31" i="11"/>
  <c r="AG31" i="11"/>
  <c r="AR30" i="11"/>
  <c r="AN30" i="11"/>
  <c r="AL30" i="11"/>
  <c r="AK30" i="11"/>
  <c r="AS30" i="11" s="1"/>
  <c r="AJ30" i="11"/>
  <c r="AG30" i="11"/>
  <c r="AS16" i="11"/>
  <c r="AR16" i="11"/>
  <c r="AN16" i="11"/>
  <c r="AL16" i="11"/>
  <c r="AK16" i="11"/>
  <c r="AJ16" i="11"/>
  <c r="AI16" i="11"/>
  <c r="AG16" i="11"/>
  <c r="AS15" i="11"/>
  <c r="AR15" i="11"/>
  <c r="AN15" i="11"/>
  <c r="AL15" i="11"/>
  <c r="AK15" i="11"/>
  <c r="AJ15" i="11"/>
  <c r="AI15" i="11"/>
  <c r="AG15" i="11"/>
  <c r="AS14" i="11"/>
  <c r="AR14" i="11"/>
  <c r="AN14" i="11"/>
  <c r="AL14" i="11"/>
  <c r="AK14" i="11"/>
  <c r="AJ14" i="11"/>
  <c r="AI14" i="11"/>
  <c r="AG14" i="11"/>
  <c r="AI13" i="11"/>
  <c r="AS12" i="11"/>
  <c r="AR12" i="11"/>
  <c r="AP12" i="11"/>
  <c r="AN12" i="11"/>
  <c r="AL12" i="11"/>
  <c r="AK12" i="11"/>
  <c r="AJ12" i="11"/>
  <c r="AI12" i="11"/>
  <c r="AG12" i="11"/>
  <c r="AR11" i="11"/>
  <c r="AP11" i="11"/>
  <c r="AN11" i="11"/>
  <c r="AL11" i="11"/>
  <c r="AK11" i="11"/>
  <c r="AJ11" i="11"/>
  <c r="AI11" i="11"/>
  <c r="AG11" i="11"/>
  <c r="AS10" i="11"/>
  <c r="AR10" i="11"/>
  <c r="AP10" i="11"/>
  <c r="AN10" i="11"/>
  <c r="AL10" i="11"/>
  <c r="AK10" i="11"/>
  <c r="AJ10" i="11"/>
  <c r="AI10" i="11"/>
  <c r="AG10" i="11"/>
  <c r="AS9" i="11"/>
  <c r="AR9" i="11"/>
  <c r="AP9" i="11"/>
  <c r="AN9" i="11"/>
  <c r="AL9" i="11"/>
  <c r="AK9" i="11"/>
  <c r="AJ9" i="11"/>
  <c r="AI9" i="11"/>
  <c r="AG9" i="11"/>
  <c r="AS8" i="11"/>
  <c r="AR8" i="11"/>
  <c r="AP8" i="11"/>
  <c r="AN8" i="11"/>
  <c r="AL8" i="11"/>
  <c r="AK8" i="11"/>
  <c r="AJ8" i="11"/>
  <c r="AI8" i="11"/>
  <c r="AG8" i="11"/>
  <c r="AS7" i="11"/>
  <c r="AR7" i="11"/>
  <c r="AP7" i="11"/>
  <c r="AN7" i="11"/>
  <c r="AL7" i="11"/>
  <c r="AK7" i="11"/>
  <c r="AJ7" i="11"/>
  <c r="AI7" i="11"/>
  <c r="AG7" i="11"/>
  <c r="AJ8" i="6"/>
  <c r="W8" i="6"/>
  <c r="J8" i="6"/>
  <c r="C5" i="6"/>
  <c r="AJ3" i="6"/>
  <c r="AG3" i="6"/>
  <c r="W3" i="6"/>
  <c r="T3" i="6"/>
  <c r="Q3" i="6"/>
  <c r="Q14" i="6" s="1"/>
  <c r="J3" i="6"/>
  <c r="F3" i="6"/>
  <c r="J25" i="6" s="1"/>
  <c r="AJ2" i="6"/>
  <c r="AG2" i="6"/>
  <c r="AG4" i="6" s="1"/>
  <c r="W2" i="6"/>
  <c r="J2" i="6"/>
  <c r="M31" i="13"/>
  <c r="M30" i="13"/>
  <c r="Q15" i="31"/>
  <c r="T15" i="31" s="1"/>
  <c r="AC38" i="13"/>
  <c r="T24" i="13" s="1"/>
  <c r="BS23" i="13"/>
  <c r="BR23" i="13"/>
  <c r="AC37" i="13"/>
  <c r="T23" i="13" s="1"/>
  <c r="BS22" i="13"/>
  <c r="X19" i="83"/>
  <c r="X20" i="83" s="1"/>
  <c r="G22" i="31"/>
  <c r="C3" i="6" s="1"/>
  <c r="BS21" i="13"/>
  <c r="BS20" i="13"/>
  <c r="BR20" i="13"/>
  <c r="G20" i="13"/>
  <c r="O14" i="36" s="1"/>
  <c r="BS19" i="13"/>
  <c r="BS18" i="13"/>
  <c r="BS17" i="13"/>
  <c r="G19" i="13" s="1"/>
  <c r="BR17" i="13"/>
  <c r="G18" i="13" s="1"/>
  <c r="BS16" i="13"/>
  <c r="BR16" i="13"/>
  <c r="AR14" i="13"/>
  <c r="CN13" i="13"/>
  <c r="CJ13" i="36" s="1"/>
  <c r="CB13" i="13"/>
  <c r="CA21" i="13" s="1"/>
  <c r="CB21" i="13" s="1"/>
  <c r="BT21" i="13" s="1"/>
  <c r="CN12" i="13"/>
  <c r="CJ12" i="21" s="1"/>
  <c r="X7" i="13"/>
  <c r="CN11" i="13"/>
  <c r="CJ11" i="45" s="1"/>
  <c r="CC11" i="13"/>
  <c r="CB11" i="13"/>
  <c r="T11" i="13"/>
  <c r="CN10" i="13"/>
  <c r="CJ10" i="36" s="1"/>
  <c r="A10" i="13"/>
  <c r="CN9" i="13"/>
  <c r="CJ9" i="36" s="1"/>
  <c r="AU8" i="13"/>
  <c r="AU9" i="13" s="1"/>
  <c r="G4" i="13"/>
  <c r="H4" i="50" s="1"/>
  <c r="U3" i="13"/>
  <c r="U3" i="19" s="1"/>
  <c r="CI1" i="13"/>
  <c r="C3" i="54" s="1"/>
  <c r="Q21" i="30"/>
  <c r="Q20" i="30"/>
  <c r="Q19" i="30"/>
  <c r="Q17" i="30"/>
  <c r="Q14" i="30"/>
  <c r="M13" i="30"/>
  <c r="M15" i="30" s="1"/>
  <c r="I13" i="30"/>
  <c r="I15" i="30" s="1"/>
  <c r="Q12" i="30"/>
  <c r="B7" i="30"/>
  <c r="W6" i="30"/>
  <c r="B6" i="30"/>
  <c r="CC4" i="30"/>
  <c r="CC5" i="30" s="1"/>
  <c r="BV45" i="10"/>
  <c r="BU45" i="10"/>
  <c r="BV44" i="10"/>
  <c r="BU44" i="10"/>
  <c r="BR44" i="10"/>
  <c r="BQ44" i="10"/>
  <c r="BV43" i="10"/>
  <c r="BU43" i="10"/>
  <c r="BR43" i="10"/>
  <c r="BQ43" i="10"/>
  <c r="BV42" i="10"/>
  <c r="BU42" i="10"/>
  <c r="BR42" i="10"/>
  <c r="BQ42" i="10"/>
  <c r="BV41" i="10"/>
  <c r="BU41" i="10"/>
  <c r="BR41" i="10"/>
  <c r="BQ41" i="10"/>
  <c r="BV40" i="10"/>
  <c r="BU40" i="10"/>
  <c r="BR40" i="10"/>
  <c r="BQ40" i="10"/>
  <c r="X40" i="10"/>
  <c r="M40" i="10"/>
  <c r="BR39" i="10"/>
  <c r="BQ39" i="10"/>
  <c r="R39" i="10"/>
  <c r="G39" i="10"/>
  <c r="R30" i="10"/>
  <c r="G30" i="10"/>
  <c r="X29" i="10"/>
  <c r="R23" i="10"/>
  <c r="G23" i="10"/>
  <c r="AD17" i="10"/>
  <c r="AA17" i="10"/>
  <c r="X17" i="10"/>
  <c r="P17" i="10"/>
  <c r="M17" i="10"/>
  <c r="AA16" i="10"/>
  <c r="P16" i="10"/>
  <c r="AA15" i="10"/>
  <c r="U15" i="10"/>
  <c r="R15" i="10"/>
  <c r="P15" i="10"/>
  <c r="J15" i="10"/>
  <c r="G15" i="10"/>
  <c r="AA14" i="10"/>
  <c r="X14" i="10"/>
  <c r="P14" i="10"/>
  <c r="M14" i="10"/>
  <c r="R13" i="10"/>
  <c r="R11" i="10"/>
  <c r="G11" i="10"/>
  <c r="BP10" i="10"/>
  <c r="BP9" i="10"/>
  <c r="BO9" i="10"/>
  <c r="R3" i="10"/>
  <c r="G3" i="10"/>
  <c r="R27" i="55"/>
  <c r="AJ14" i="55" s="1"/>
  <c r="G27" i="55"/>
  <c r="I29" i="55" s="1"/>
  <c r="R22" i="55"/>
  <c r="G22" i="55"/>
  <c r="W21" i="55"/>
  <c r="L21" i="55"/>
  <c r="BJ13" i="55"/>
  <c r="R13" i="55"/>
  <c r="AJ8" i="55" s="1"/>
  <c r="G13" i="55"/>
  <c r="AJ7" i="55" s="1"/>
  <c r="BL11" i="55"/>
  <c r="AJ11" i="55"/>
  <c r="BN4" i="55" s="1"/>
  <c r="BN5" i="55" s="1"/>
  <c r="AJ10" i="55"/>
  <c r="I22" i="55" s="1"/>
  <c r="Y9" i="55"/>
  <c r="W9" i="55"/>
  <c r="N9" i="55"/>
  <c r="L9" i="55"/>
  <c r="BL5" i="55"/>
  <c r="BK5" i="55"/>
  <c r="AJ5" i="55"/>
  <c r="T8" i="55" s="1"/>
  <c r="BM4" i="55"/>
  <c r="BL4" i="55"/>
  <c r="BK4" i="55"/>
  <c r="AJ4" i="55"/>
  <c r="I8" i="55" s="1"/>
  <c r="AJ30" i="8"/>
  <c r="BL30" i="8"/>
  <c r="AJ29" i="8"/>
  <c r="AJ27" i="8"/>
  <c r="AJ26" i="8"/>
  <c r="BL24" i="8"/>
  <c r="BK24" i="8"/>
  <c r="AJ23" i="8"/>
  <c r="BN23" i="8"/>
  <c r="BN24" i="8" s="1"/>
  <c r="BM23" i="8"/>
  <c r="BM25" i="8" s="1"/>
  <c r="BL23" i="8"/>
  <c r="BK23" i="8"/>
  <c r="AJ22" i="8"/>
  <c r="AG18" i="8"/>
  <c r="K29" i="84" s="1"/>
  <c r="BQ16" i="8"/>
  <c r="BM15" i="8"/>
  <c r="BQ14" i="8"/>
  <c r="BQ17" i="8" s="1"/>
  <c r="BP14" i="8"/>
  <c r="BP17" i="8" s="1"/>
  <c r="BO14" i="8"/>
  <c r="BO15" i="8" s="1"/>
  <c r="BM14" i="8"/>
  <c r="BM16" i="8" s="1"/>
  <c r="BL14" i="8"/>
  <c r="BK14" i="8"/>
  <c r="BK15" i="8" s="1"/>
  <c r="BK16" i="8" s="1"/>
  <c r="AT12" i="8"/>
  <c r="AJ12" i="8"/>
  <c r="AT11" i="8"/>
  <c r="AJ11" i="8"/>
  <c r="AT10" i="8"/>
  <c r="AJ10" i="8"/>
  <c r="AT9" i="8"/>
  <c r="AJ9" i="8"/>
  <c r="U9" i="8"/>
  <c r="J9" i="8"/>
  <c r="AT8" i="8"/>
  <c r="AJ8" i="8"/>
  <c r="AT7" i="8"/>
  <c r="AJ7" i="8"/>
  <c r="AT6" i="8"/>
  <c r="AJ6" i="8"/>
  <c r="BL5" i="8"/>
  <c r="BP5" i="8" s="1"/>
  <c r="BK5" i="8"/>
  <c r="AT5" i="8"/>
  <c r="AO5" i="8"/>
  <c r="AJ5" i="8"/>
  <c r="T4" i="8"/>
  <c r="A8" i="84" s="1"/>
  <c r="I4" i="8"/>
  <c r="A7" i="84" s="1"/>
  <c r="AD2" i="8"/>
  <c r="K8" i="24" l="1"/>
  <c r="K15" i="24" s="1"/>
  <c r="P8" i="84"/>
  <c r="P7" i="84"/>
  <c r="T22" i="55"/>
  <c r="CJ12" i="36"/>
  <c r="G17" i="31"/>
  <c r="J17" i="31" s="1"/>
  <c r="CJ9" i="20"/>
  <c r="CJ13" i="45"/>
  <c r="O12" i="21"/>
  <c r="CJ9" i="45"/>
  <c r="S12" i="48"/>
  <c r="F16" i="79"/>
  <c r="CJ11" i="20"/>
  <c r="CJ10" i="45"/>
  <c r="S3" i="6"/>
  <c r="W25" i="6" s="1"/>
  <c r="AF3" i="6"/>
  <c r="AJ35" i="6" s="1"/>
  <c r="Q9" i="6"/>
  <c r="J16" i="48"/>
  <c r="D4" i="77"/>
  <c r="I10" i="20"/>
  <c r="I12" i="20" s="1"/>
  <c r="CJ10" i="20"/>
  <c r="CJ13" i="20"/>
  <c r="L15" i="20"/>
  <c r="I15" i="20" s="1"/>
  <c r="CJ9" i="21"/>
  <c r="CJ10" i="21"/>
  <c r="CJ13" i="21"/>
  <c r="L15" i="21"/>
  <c r="I15" i="21" s="1"/>
  <c r="CJ12" i="45"/>
  <c r="L15" i="31"/>
  <c r="O15" i="31" s="1"/>
  <c r="Q16" i="31"/>
  <c r="Q18" i="31" s="1"/>
  <c r="F5" i="77"/>
  <c r="J21" i="6"/>
  <c r="CJ11" i="21"/>
  <c r="Q17" i="31"/>
  <c r="AD3" i="6" s="1"/>
  <c r="P16" i="48"/>
  <c r="F4" i="77"/>
  <c r="CJ12" i="20"/>
  <c r="CJ11" i="36"/>
  <c r="Q23" i="31"/>
  <c r="AC5" i="6" s="1"/>
  <c r="O3" i="6"/>
  <c r="V16" i="48"/>
  <c r="G4" i="77"/>
  <c r="L15" i="36"/>
  <c r="I15" i="36" s="1"/>
  <c r="H28" i="84"/>
  <c r="V28" i="84" s="1"/>
  <c r="S29" i="84"/>
  <c r="AC3" i="57"/>
  <c r="BN25" i="8"/>
  <c r="AC10" i="84"/>
  <c r="A5" i="57"/>
  <c r="BQ15" i="8"/>
  <c r="BM17" i="8"/>
  <c r="AC9" i="84"/>
  <c r="A4" i="57"/>
  <c r="BJ32" i="8"/>
  <c r="BL32" i="8" s="1"/>
  <c r="BL13" i="55"/>
  <c r="V3" i="21"/>
  <c r="G3" i="77"/>
  <c r="M12" i="48"/>
  <c r="E16" i="79"/>
  <c r="BK6" i="8"/>
  <c r="BK7" i="8" s="1"/>
  <c r="BO5" i="8"/>
  <c r="M20" i="24"/>
  <c r="O13" i="36"/>
  <c r="AH19" i="45"/>
  <c r="O13" i="45"/>
  <c r="G25" i="31"/>
  <c r="H65" i="33"/>
  <c r="H8" i="33"/>
  <c r="BP15" i="8"/>
  <c r="BO16" i="8"/>
  <c r="BM24" i="8"/>
  <c r="BM26" i="8" s="1"/>
  <c r="BM27" i="8" s="1"/>
  <c r="BM28" i="8" s="1"/>
  <c r="BP16" i="8"/>
  <c r="BO17" i="8"/>
  <c r="S18" i="48"/>
  <c r="V3" i="36"/>
  <c r="BO10" i="10"/>
  <c r="BO11" i="10" s="1"/>
  <c r="C21" i="24"/>
  <c r="F23" i="24"/>
  <c r="E12" i="24"/>
  <c r="D34" i="24"/>
  <c r="D23" i="24"/>
  <c r="D59" i="24" s="1"/>
  <c r="D51" i="24"/>
  <c r="D56" i="24"/>
  <c r="L56" i="24"/>
  <c r="M21" i="24"/>
  <c r="C57" i="24"/>
  <c r="F18" i="24"/>
  <c r="CM14" i="24"/>
  <c r="CL14" i="24"/>
  <c r="D52" i="24"/>
  <c r="Z23" i="24"/>
  <c r="E59" i="24"/>
  <c r="F15" i="24"/>
  <c r="Z15" i="24" s="1"/>
  <c r="D21" i="24"/>
  <c r="E51" i="24"/>
  <c r="J21" i="24"/>
  <c r="K21" i="24"/>
  <c r="CL30" i="24"/>
  <c r="CN30" i="24" s="1"/>
  <c r="CM30" i="24"/>
  <c r="M16" i="24"/>
  <c r="J57" i="24"/>
  <c r="K35" i="24"/>
  <c r="K51" i="24"/>
  <c r="K52" i="24"/>
  <c r="L52" i="24" s="1"/>
  <c r="M23" i="24"/>
  <c r="M15" i="24"/>
  <c r="M17" i="24"/>
  <c r="O36" i="24"/>
  <c r="F9" i="54"/>
  <c r="G9" i="54" s="1"/>
  <c r="L23" i="45"/>
  <c r="I23" i="45" s="1"/>
  <c r="D9" i="54"/>
  <c r="R32" i="45"/>
  <c r="U32" i="45" s="1"/>
  <c r="X32" i="45" s="1"/>
  <c r="D3" i="77"/>
  <c r="L16" i="31"/>
  <c r="F3" i="77"/>
  <c r="U3" i="32"/>
  <c r="V3" i="48" s="1"/>
  <c r="V3" i="20"/>
  <c r="O14" i="20"/>
  <c r="L14" i="20" s="1"/>
  <c r="I14" i="20" s="1"/>
  <c r="O14" i="45"/>
  <c r="V3" i="31"/>
  <c r="O14" i="21"/>
  <c r="R14" i="21" s="1"/>
  <c r="U14" i="21" s="1"/>
  <c r="X14" i="21" s="1"/>
  <c r="V3" i="50"/>
  <c r="V3" i="45"/>
  <c r="U4" i="32"/>
  <c r="N4" i="32" s="1"/>
  <c r="BL15" i="8"/>
  <c r="BL16" i="8" s="1"/>
  <c r="BL17" i="8" s="1"/>
  <c r="K33" i="24"/>
  <c r="O33" i="24" s="1"/>
  <c r="K36" i="24" s="1"/>
  <c r="J4" i="24" s="1"/>
  <c r="BE5" i="8"/>
  <c r="M18" i="82" s="1"/>
  <c r="BE6" i="8"/>
  <c r="H72" i="33" s="1"/>
  <c r="BN6" i="55"/>
  <c r="BM5" i="55"/>
  <c r="D8" i="24"/>
  <c r="BE10" i="8"/>
  <c r="E4" i="77"/>
  <c r="T29" i="55"/>
  <c r="E36" i="11"/>
  <c r="X36" i="11"/>
  <c r="AS11" i="11"/>
  <c r="BK17" i="8"/>
  <c r="BE8" i="8"/>
  <c r="I3" i="85" s="1"/>
  <c r="BE9" i="8"/>
  <c r="BE11" i="8"/>
  <c r="CA23" i="13"/>
  <c r="CB23" i="13" s="1"/>
  <c r="CC23" i="13" s="1"/>
  <c r="M19" i="48"/>
  <c r="B2" i="77"/>
  <c r="B4" i="77"/>
  <c r="L22" i="31"/>
  <c r="P3" i="6" s="1"/>
  <c r="Q22" i="31"/>
  <c r="AC3" i="6" s="1"/>
  <c r="R23" i="21"/>
  <c r="U23" i="21" s="1"/>
  <c r="X23" i="21" s="1"/>
  <c r="G18" i="48"/>
  <c r="L9" i="36"/>
  <c r="I9" i="36" s="1"/>
  <c r="AG5" i="36" s="1"/>
  <c r="CB18" i="13"/>
  <c r="CC18" i="13" s="1"/>
  <c r="BR22" i="13"/>
  <c r="U15" i="30"/>
  <c r="M22" i="30"/>
  <c r="Q18" i="30" s="1"/>
  <c r="Q13" i="30"/>
  <c r="Q11" i="30"/>
  <c r="Q15" i="30"/>
  <c r="Q22" i="30" s="1"/>
  <c r="I22" i="30"/>
  <c r="U22" i="30" s="1"/>
  <c r="V23" i="30" s="1"/>
  <c r="V14" i="48"/>
  <c r="J14" i="48"/>
  <c r="C16" i="19"/>
  <c r="L16" i="19" s="1"/>
  <c r="U16" i="19" s="1"/>
  <c r="B25" i="19"/>
  <c r="K25" i="19" s="1"/>
  <c r="T25" i="19" s="1"/>
  <c r="C17" i="19"/>
  <c r="L17" i="19" s="1"/>
  <c r="U17" i="19" s="1"/>
  <c r="CA19" i="13"/>
  <c r="CB19" i="13" s="1"/>
  <c r="CA20" i="13"/>
  <c r="CB20" i="13" s="1"/>
  <c r="CJ31" i="13"/>
  <c r="CF31" i="45" s="1"/>
  <c r="AI5" i="21"/>
  <c r="BZ13" i="21" s="1"/>
  <c r="AI10" i="21" s="1"/>
  <c r="BR19" i="13"/>
  <c r="CA22" i="13"/>
  <c r="K19" i="84"/>
  <c r="J13" i="48"/>
  <c r="D2" i="77"/>
  <c r="G16" i="31"/>
  <c r="E3" i="6" s="1"/>
  <c r="E36" i="6" s="1"/>
  <c r="F2" i="77"/>
  <c r="Q10" i="6"/>
  <c r="Q16" i="6"/>
  <c r="Q18" i="6"/>
  <c r="J23" i="6"/>
  <c r="P14" i="48"/>
  <c r="R23" i="20"/>
  <c r="U23" i="20" s="1"/>
  <c r="X23" i="20" s="1"/>
  <c r="O32" i="36"/>
  <c r="R32" i="36" s="1"/>
  <c r="U32" i="36" s="1"/>
  <c r="X32" i="36" s="1"/>
  <c r="R10" i="45"/>
  <c r="R12" i="45" s="1"/>
  <c r="Q8" i="6"/>
  <c r="Q11" i="6"/>
  <c r="L14" i="21"/>
  <c r="I14" i="21" s="1"/>
  <c r="L10" i="36"/>
  <c r="L12" i="36" s="1"/>
  <c r="I10" i="45"/>
  <c r="I13" i="45" s="1"/>
  <c r="Q12" i="6"/>
  <c r="Q13" i="6"/>
  <c r="Q15" i="6"/>
  <c r="Q17" i="6"/>
  <c r="Q19" i="6"/>
  <c r="R10" i="20"/>
  <c r="R12" i="20" s="1"/>
  <c r="L23" i="20"/>
  <c r="I23" i="20" s="1"/>
  <c r="L23" i="36"/>
  <c r="I23" i="36" s="1"/>
  <c r="L10" i="45"/>
  <c r="L13" i="45" s="1"/>
  <c r="O17" i="31"/>
  <c r="Q22" i="50"/>
  <c r="J37" i="6"/>
  <c r="J36" i="6"/>
  <c r="J35" i="6"/>
  <c r="J34" i="6"/>
  <c r="J33" i="6"/>
  <c r="J32" i="6"/>
  <c r="J31" i="6"/>
  <c r="J30" i="6"/>
  <c r="J29" i="6"/>
  <c r="J28" i="6"/>
  <c r="J27" i="6"/>
  <c r="Q37" i="6"/>
  <c r="Q36" i="6"/>
  <c r="Q35" i="6"/>
  <c r="Q34" i="6"/>
  <c r="Q33" i="6"/>
  <c r="Q32" i="6"/>
  <c r="Q31" i="6"/>
  <c r="Q30" i="6"/>
  <c r="Q29" i="6"/>
  <c r="Q28" i="6"/>
  <c r="Q27" i="6"/>
  <c r="Q26" i="6"/>
  <c r="Q25" i="6"/>
  <c r="Q24" i="6"/>
  <c r="Q23" i="6"/>
  <c r="Q22" i="6"/>
  <c r="Q21" i="6"/>
  <c r="Q20" i="6"/>
  <c r="J20" i="6"/>
  <c r="J22" i="6"/>
  <c r="J24" i="6"/>
  <c r="J26" i="6"/>
  <c r="J9" i="6"/>
  <c r="J10" i="6"/>
  <c r="J11" i="6"/>
  <c r="J12" i="6"/>
  <c r="J13" i="6"/>
  <c r="J14" i="6"/>
  <c r="J15" i="6"/>
  <c r="J16" i="6"/>
  <c r="J17" i="6"/>
  <c r="J18" i="6"/>
  <c r="J19" i="6"/>
  <c r="E7" i="54"/>
  <c r="E14" i="54" s="1"/>
  <c r="E15" i="54" s="1"/>
  <c r="I9" i="45"/>
  <c r="AG5" i="45" s="1"/>
  <c r="B6" i="45"/>
  <c r="AI5" i="45"/>
  <c r="AI8" i="45" s="1"/>
  <c r="O11" i="45" s="1"/>
  <c r="L23" i="31"/>
  <c r="L13" i="31"/>
  <c r="U10" i="36"/>
  <c r="R12" i="36"/>
  <c r="R13" i="36"/>
  <c r="L10" i="21"/>
  <c r="R10" i="21"/>
  <c r="L15" i="45"/>
  <c r="I15" i="45" s="1"/>
  <c r="R15" i="45"/>
  <c r="U15" i="45" s="1"/>
  <c r="X15" i="45" s="1"/>
  <c r="L14" i="36"/>
  <c r="I14" i="36" s="1"/>
  <c r="R14" i="36"/>
  <c r="U14" i="36" s="1"/>
  <c r="X14" i="36" s="1"/>
  <c r="L32" i="20"/>
  <c r="I32" i="20" s="1"/>
  <c r="R32" i="20"/>
  <c r="U32" i="20" s="1"/>
  <c r="X32" i="20" s="1"/>
  <c r="O13" i="21"/>
  <c r="O32" i="21"/>
  <c r="L10" i="20"/>
  <c r="O12" i="45"/>
  <c r="R23" i="45"/>
  <c r="U23" i="45" s="1"/>
  <c r="X23" i="45" s="1"/>
  <c r="O12" i="20"/>
  <c r="O12" i="36"/>
  <c r="CC21" i="13"/>
  <c r="CB22" i="13"/>
  <c r="F4" i="54"/>
  <c r="D4" i="54"/>
  <c r="E44" i="54"/>
  <c r="CA16" i="13"/>
  <c r="CB16" i="13" s="1"/>
  <c r="CA17" i="13"/>
  <c r="CB17" i="13" s="1"/>
  <c r="BR18" i="13"/>
  <c r="CA18" i="13"/>
  <c r="BR21" i="13"/>
  <c r="BY21" i="13" s="1"/>
  <c r="AJ5" i="21"/>
  <c r="U9" i="21"/>
  <c r="AI8" i="20"/>
  <c r="O11" i="20" s="1"/>
  <c r="R9" i="20"/>
  <c r="BZ13" i="36"/>
  <c r="AI16" i="36"/>
  <c r="AI23" i="36" s="1"/>
  <c r="AI8" i="36"/>
  <c r="O11" i="36" s="1"/>
  <c r="L9" i="20"/>
  <c r="BZ13" i="20"/>
  <c r="R9" i="36"/>
  <c r="L9" i="21"/>
  <c r="L9" i="45"/>
  <c r="R9" i="45"/>
  <c r="AJ13" i="55"/>
  <c r="BF5" i="8"/>
  <c r="M19" i="82" s="1"/>
  <c r="BE12" i="8"/>
  <c r="BE7" i="8"/>
  <c r="BL6" i="8"/>
  <c r="BP6" i="8" s="1"/>
  <c r="AF15" i="31"/>
  <c r="H9" i="33"/>
  <c r="H60" i="33"/>
  <c r="J3" i="24"/>
  <c r="B26" i="19"/>
  <c r="K26" i="19" s="1"/>
  <c r="T26" i="19" s="1"/>
  <c r="H11" i="33"/>
  <c r="H66" i="33"/>
  <c r="I8" i="24"/>
  <c r="H13" i="33"/>
  <c r="H68" i="33"/>
  <c r="R4" i="10"/>
  <c r="H15" i="33"/>
  <c r="H12" i="33"/>
  <c r="H59" i="33"/>
  <c r="H67" i="33"/>
  <c r="C3" i="24"/>
  <c r="B8" i="24"/>
  <c r="G4" i="10"/>
  <c r="AE15" i="31"/>
  <c r="H10" i="33"/>
  <c r="H14" i="33"/>
  <c r="Z9" i="57"/>
  <c r="Z41" i="57" s="1"/>
  <c r="Y41" i="57"/>
  <c r="Q33" i="57"/>
  <c r="T33" i="57" s="1"/>
  <c r="Q39" i="57"/>
  <c r="T39" i="57" s="1"/>
  <c r="Q30" i="57"/>
  <c r="T30" i="57" s="1"/>
  <c r="T23" i="57"/>
  <c r="T26" i="57"/>
  <c r="Q36" i="57"/>
  <c r="T36" i="57" s="1"/>
  <c r="CC6" i="30"/>
  <c r="CA6" i="30" s="1"/>
  <c r="CC6" i="56"/>
  <c r="CA6" i="56" s="1"/>
  <c r="BK6" i="55"/>
  <c r="BP11" i="10"/>
  <c r="BP12" i="10" s="1"/>
  <c r="BP13" i="10" s="1"/>
  <c r="BL6" i="55"/>
  <c r="BL7" i="55" s="1"/>
  <c r="BL8" i="55" s="1"/>
  <c r="BL25" i="8"/>
  <c r="BK25" i="8"/>
  <c r="AD10" i="84" l="1"/>
  <c r="S8" i="84"/>
  <c r="Q5" i="57" s="1"/>
  <c r="T5" i="57"/>
  <c r="T4" i="57"/>
  <c r="AD9" i="84"/>
  <c r="S7" i="84"/>
  <c r="P16" i="84"/>
  <c r="BK18" i="8"/>
  <c r="BK19" i="8" s="1"/>
  <c r="G22" i="8" s="1"/>
  <c r="BM6" i="55"/>
  <c r="BM7" i="55" s="1"/>
  <c r="BM8" i="55" s="1"/>
  <c r="BM9" i="55" s="1"/>
  <c r="I12" i="45"/>
  <c r="I13" i="20"/>
  <c r="Q25" i="31"/>
  <c r="W21" i="6"/>
  <c r="G19" i="31"/>
  <c r="AJ32" i="6"/>
  <c r="AJ20" i="6"/>
  <c r="AJ36" i="6"/>
  <c r="D5" i="77"/>
  <c r="E30" i="6"/>
  <c r="AJ24" i="6"/>
  <c r="E25" i="6"/>
  <c r="AJ28" i="6"/>
  <c r="AJ18" i="6"/>
  <c r="Q19" i="31"/>
  <c r="W16" i="6"/>
  <c r="W27" i="6"/>
  <c r="W20" i="6"/>
  <c r="D3" i="6"/>
  <c r="D18" i="6" s="1"/>
  <c r="W18" i="6"/>
  <c r="W31" i="6"/>
  <c r="W35" i="6"/>
  <c r="W13" i="6"/>
  <c r="W11" i="6"/>
  <c r="W9" i="6"/>
  <c r="W28" i="6"/>
  <c r="W32" i="6"/>
  <c r="W36" i="6"/>
  <c r="O5" i="6"/>
  <c r="W17" i="6"/>
  <c r="W15" i="6"/>
  <c r="W29" i="6"/>
  <c r="W33" i="6"/>
  <c r="W37" i="6"/>
  <c r="W23" i="6"/>
  <c r="W19" i="6"/>
  <c r="W22" i="6"/>
  <c r="W12" i="6"/>
  <c r="W10" i="6"/>
  <c r="D22" i="6"/>
  <c r="W24" i="6"/>
  <c r="W30" i="6"/>
  <c r="W34" i="6"/>
  <c r="W14" i="6"/>
  <c r="W26" i="6"/>
  <c r="L12" i="45"/>
  <c r="AI16" i="21"/>
  <c r="AI23" i="21" s="1"/>
  <c r="E31" i="6"/>
  <c r="E14" i="6"/>
  <c r="AJ21" i="6"/>
  <c r="AJ25" i="6"/>
  <c r="AJ29" i="6"/>
  <c r="AJ33" i="6"/>
  <c r="AJ37" i="6"/>
  <c r="AJ16" i="6"/>
  <c r="AJ9" i="6"/>
  <c r="AJ13" i="6"/>
  <c r="E17" i="6"/>
  <c r="E10" i="6"/>
  <c r="AJ22" i="6"/>
  <c r="AJ26" i="6"/>
  <c r="AJ30" i="6"/>
  <c r="AJ34" i="6"/>
  <c r="AJ14" i="6"/>
  <c r="AJ12" i="6"/>
  <c r="B3" i="77"/>
  <c r="C3" i="77" s="1"/>
  <c r="E21" i="6"/>
  <c r="AJ19" i="6"/>
  <c r="AJ23" i="6"/>
  <c r="AJ27" i="6"/>
  <c r="AJ31" i="6"/>
  <c r="M18" i="48"/>
  <c r="M17" i="48" s="1"/>
  <c r="E3" i="77"/>
  <c r="C4" i="77"/>
  <c r="AD37" i="6"/>
  <c r="AD33" i="6"/>
  <c r="AD29" i="6"/>
  <c r="AD17" i="6"/>
  <c r="AD24" i="6"/>
  <c r="AC9" i="6"/>
  <c r="AC12" i="6"/>
  <c r="AD9" i="6"/>
  <c r="AD13" i="6"/>
  <c r="AD21" i="6"/>
  <c r="AD34" i="6"/>
  <c r="AD30" i="6"/>
  <c r="AD16" i="6"/>
  <c r="AC11" i="6"/>
  <c r="AD36" i="6"/>
  <c r="AD32" i="6"/>
  <c r="AD28" i="6"/>
  <c r="AD14" i="6"/>
  <c r="AD18" i="6"/>
  <c r="AD26" i="6"/>
  <c r="AD8" i="6"/>
  <c r="AD12" i="6"/>
  <c r="AD23" i="6"/>
  <c r="AD10" i="6"/>
  <c r="AD19" i="6"/>
  <c r="AD35" i="6"/>
  <c r="AD31" i="6"/>
  <c r="AD27" i="6"/>
  <c r="AD15" i="6"/>
  <c r="AD20" i="6"/>
  <c r="AC10" i="6"/>
  <c r="AD11" i="6"/>
  <c r="AD25" i="6"/>
  <c r="AD22" i="6"/>
  <c r="AC8" i="6"/>
  <c r="F17" i="79"/>
  <c r="F18" i="79" s="1"/>
  <c r="F31" i="79" s="1"/>
  <c r="F34" i="79" s="1"/>
  <c r="AI9" i="21"/>
  <c r="L32" i="36"/>
  <c r="I32" i="36" s="1"/>
  <c r="AC24" i="6"/>
  <c r="T16" i="31"/>
  <c r="AE3" i="6"/>
  <c r="AJ10" i="6"/>
  <c r="AJ17" i="6"/>
  <c r="AJ11" i="6"/>
  <c r="AJ15" i="6"/>
  <c r="H4" i="77"/>
  <c r="I4" i="77" s="1"/>
  <c r="J4" i="77" s="1"/>
  <c r="K4" i="77" s="1"/>
  <c r="L4" i="77" s="1"/>
  <c r="M4" i="77" s="1"/>
  <c r="N4" i="77" s="1"/>
  <c r="O4" i="77" s="1"/>
  <c r="P4" i="77" s="1"/>
  <c r="Q4" i="77" s="1"/>
  <c r="R4" i="77" s="1"/>
  <c r="S4" i="77" s="1"/>
  <c r="T17" i="31"/>
  <c r="Z43" i="57"/>
  <c r="Q43" i="57" s="1"/>
  <c r="BN26" i="8"/>
  <c r="BN27" i="8" s="1"/>
  <c r="BN28" i="8" s="1"/>
  <c r="F24" i="83"/>
  <c r="B3" i="79"/>
  <c r="H3" i="84"/>
  <c r="G3" i="32"/>
  <c r="G3" i="83"/>
  <c r="E17" i="79"/>
  <c r="E18" i="79" s="1"/>
  <c r="E31" i="79" s="1"/>
  <c r="E34" i="79" s="1"/>
  <c r="BT18" i="13"/>
  <c r="BY18" i="13" s="1"/>
  <c r="H3" i="48"/>
  <c r="BO6" i="8"/>
  <c r="BL7" i="8"/>
  <c r="BL8" i="8" s="1"/>
  <c r="BL9" i="8" s="1"/>
  <c r="BL10" i="8" s="1"/>
  <c r="R7" i="8" s="1"/>
  <c r="CN14" i="24"/>
  <c r="H69" i="33"/>
  <c r="O17" i="20"/>
  <c r="H70" i="33"/>
  <c r="H71" i="33"/>
  <c r="AC34" i="6"/>
  <c r="AC14" i="6"/>
  <c r="AC18" i="6"/>
  <c r="AC30" i="6"/>
  <c r="AC23" i="6"/>
  <c r="AI7" i="21"/>
  <c r="AI12" i="21"/>
  <c r="AI8" i="21"/>
  <c r="O11" i="21" s="1"/>
  <c r="O17" i="21" s="1"/>
  <c r="AI11" i="21"/>
  <c r="AI13" i="21"/>
  <c r="BT23" i="13"/>
  <c r="BY23" i="13" s="1"/>
  <c r="AI14" i="21"/>
  <c r="R14" i="20"/>
  <c r="U14" i="20" s="1"/>
  <c r="X14" i="20" s="1"/>
  <c r="BZ13" i="45"/>
  <c r="AI11" i="45" s="1"/>
  <c r="AI16" i="45"/>
  <c r="AI23" i="45" s="1"/>
  <c r="BO12" i="10"/>
  <c r="BO13" i="10" s="1"/>
  <c r="BO14" i="10" s="1"/>
  <c r="G13" i="10" s="1"/>
  <c r="E56" i="24"/>
  <c r="F20" i="24"/>
  <c r="D35" i="24"/>
  <c r="N34" i="24"/>
  <c r="K17" i="24"/>
  <c r="K53" i="24" s="1"/>
  <c r="L53" i="24" s="1"/>
  <c r="D17" i="24"/>
  <c r="D53" i="24" s="1"/>
  <c r="F16" i="24"/>
  <c r="Z16" i="24" s="1"/>
  <c r="E52" i="24"/>
  <c r="L51" i="24"/>
  <c r="AC13" i="6"/>
  <c r="AC27" i="6"/>
  <c r="AC31" i="6"/>
  <c r="AC35" i="6"/>
  <c r="AC15" i="6"/>
  <c r="AC19" i="6"/>
  <c r="AC25" i="6"/>
  <c r="AC28" i="6"/>
  <c r="AC32" i="6"/>
  <c r="AC36" i="6"/>
  <c r="AC16" i="6"/>
  <c r="AC21" i="6"/>
  <c r="AC26" i="6"/>
  <c r="AC29" i="6"/>
  <c r="AC33" i="6"/>
  <c r="AC37" i="6"/>
  <c r="AC17" i="6"/>
  <c r="AC22" i="6"/>
  <c r="O16" i="31"/>
  <c r="R3" i="6"/>
  <c r="L14" i="45"/>
  <c r="I14" i="45" s="1"/>
  <c r="R14" i="45"/>
  <c r="U14" i="45" s="1"/>
  <c r="X14" i="45" s="1"/>
  <c r="H3" i="31"/>
  <c r="J3" i="78"/>
  <c r="H3" i="25"/>
  <c r="H3" i="19"/>
  <c r="G3" i="13"/>
  <c r="H3" i="36"/>
  <c r="I3" i="59"/>
  <c r="H3" i="21"/>
  <c r="BN7" i="55"/>
  <c r="BN8" i="55" s="1"/>
  <c r="BN9" i="55" s="1"/>
  <c r="E16" i="54"/>
  <c r="E31" i="54" s="1"/>
  <c r="D7" i="54"/>
  <c r="D14" i="54" s="1"/>
  <c r="D16" i="54" s="1"/>
  <c r="CF31" i="21"/>
  <c r="AH5" i="36"/>
  <c r="AH16" i="36" s="1"/>
  <c r="AH23" i="36" s="1"/>
  <c r="D33" i="24"/>
  <c r="N33" i="24" s="1"/>
  <c r="D15" i="24"/>
  <c r="I3" i="11"/>
  <c r="H3" i="20"/>
  <c r="I3" i="58"/>
  <c r="H3" i="45"/>
  <c r="J3" i="33"/>
  <c r="B3" i="52"/>
  <c r="AC20" i="6"/>
  <c r="Q35" i="50"/>
  <c r="O17" i="36"/>
  <c r="F7" i="54"/>
  <c r="F14" i="54" s="1"/>
  <c r="F15" i="54" s="1"/>
  <c r="O17" i="45"/>
  <c r="CF31" i="20"/>
  <c r="BT20" i="13"/>
  <c r="BY20" i="13" s="1"/>
  <c r="CC20" i="13"/>
  <c r="CF31" i="36"/>
  <c r="CC19" i="13"/>
  <c r="BT19" i="13"/>
  <c r="BY19" i="13" s="1"/>
  <c r="B5" i="77"/>
  <c r="S19" i="48"/>
  <c r="S17" i="48" s="1"/>
  <c r="E35" i="6"/>
  <c r="E18" i="6"/>
  <c r="E22" i="6"/>
  <c r="E26" i="6"/>
  <c r="E11" i="6"/>
  <c r="E33" i="6"/>
  <c r="E15" i="6"/>
  <c r="E19" i="6"/>
  <c r="E23" i="6"/>
  <c r="E32" i="6"/>
  <c r="E12" i="6"/>
  <c r="E8" i="6"/>
  <c r="E27" i="6"/>
  <c r="E34" i="6"/>
  <c r="E16" i="6"/>
  <c r="E20" i="6"/>
  <c r="E24" i="6"/>
  <c r="E28" i="6"/>
  <c r="E13" i="6"/>
  <c r="E9" i="6"/>
  <c r="E29" i="6"/>
  <c r="E37" i="6"/>
  <c r="U10" i="20"/>
  <c r="R13" i="20"/>
  <c r="L13" i="36"/>
  <c r="I10" i="36"/>
  <c r="R13" i="45"/>
  <c r="U10" i="45"/>
  <c r="N25" i="31"/>
  <c r="L18" i="31"/>
  <c r="S25" i="31"/>
  <c r="T2" i="6"/>
  <c r="T4" i="6" s="1"/>
  <c r="R32" i="21"/>
  <c r="U32" i="21" s="1"/>
  <c r="X32" i="21" s="1"/>
  <c r="L32" i="21"/>
  <c r="I32" i="21" s="1"/>
  <c r="U10" i="21"/>
  <c r="R13" i="21"/>
  <c r="R12" i="21"/>
  <c r="X10" i="36"/>
  <c r="U13" i="36"/>
  <c r="U12" i="36"/>
  <c r="L25" i="31"/>
  <c r="P5" i="6"/>
  <c r="P12" i="6" s="1"/>
  <c r="J39" i="6"/>
  <c r="L13" i="20"/>
  <c r="L12" i="20"/>
  <c r="L13" i="21"/>
  <c r="L12" i="21"/>
  <c r="I10" i="21"/>
  <c r="U9" i="45"/>
  <c r="AJ5" i="45"/>
  <c r="AI13" i="20"/>
  <c r="AI14" i="20"/>
  <c r="AI9" i="20"/>
  <c r="AI10" i="20"/>
  <c r="AI11" i="20"/>
  <c r="AI12" i="20"/>
  <c r="AI7" i="20"/>
  <c r="CA13" i="21"/>
  <c r="AJ8" i="21"/>
  <c r="R11" i="21" s="1"/>
  <c r="AJ16" i="21"/>
  <c r="AJ23" i="21" s="1"/>
  <c r="AG16" i="36"/>
  <c r="AG23" i="36" s="1"/>
  <c r="BX13" i="36"/>
  <c r="AE12" i="36" s="1"/>
  <c r="AG8" i="36"/>
  <c r="AG16" i="45"/>
  <c r="AG23" i="45" s="1"/>
  <c r="BX13" i="45"/>
  <c r="AE12" i="45" s="1"/>
  <c r="AG8" i="45"/>
  <c r="I11" i="45" s="1"/>
  <c r="AJ5" i="36"/>
  <c r="U9" i="36"/>
  <c r="AH5" i="20"/>
  <c r="I9" i="20"/>
  <c r="AH5" i="45"/>
  <c r="AH5" i="21"/>
  <c r="I9" i="21"/>
  <c r="AI13" i="36"/>
  <c r="AI11" i="36"/>
  <c r="AI7" i="36"/>
  <c r="AI12" i="36"/>
  <c r="AI14" i="36"/>
  <c r="AI10" i="36"/>
  <c r="AI9" i="36"/>
  <c r="U9" i="20"/>
  <c r="AJ5" i="20"/>
  <c r="CC17" i="13"/>
  <c r="BT17" i="13"/>
  <c r="D44" i="54"/>
  <c r="X9" i="21"/>
  <c r="AK5" i="21"/>
  <c r="CC16" i="13"/>
  <c r="BT16" i="13"/>
  <c r="BY16" i="13" s="1"/>
  <c r="F44" i="54"/>
  <c r="G4" i="54"/>
  <c r="CC22" i="13"/>
  <c r="BT22" i="13"/>
  <c r="BY22" i="13" s="1"/>
  <c r="AE16" i="31"/>
  <c r="BK8" i="8"/>
  <c r="BK9" i="8" s="1"/>
  <c r="BK10" i="8" s="1"/>
  <c r="G7" i="8" s="1"/>
  <c r="Q9" i="57"/>
  <c r="BK7" i="55"/>
  <c r="BK8" i="55" s="1"/>
  <c r="BK9" i="55" s="1"/>
  <c r="G8" i="55" s="1"/>
  <c r="BL9" i="55"/>
  <c r="R8" i="55" s="1"/>
  <c r="CC7" i="56"/>
  <c r="CA7" i="56" s="1"/>
  <c r="CA4" i="56" s="1"/>
  <c r="BL26" i="8"/>
  <c r="BL27" i="8" s="1"/>
  <c r="BL28" i="8" s="1"/>
  <c r="BP14" i="10"/>
  <c r="CC7" i="30"/>
  <c r="CA7" i="30" s="1"/>
  <c r="CA4" i="30" s="1"/>
  <c r="BK26" i="8"/>
  <c r="BK27" i="8" s="1"/>
  <c r="BK28" i="8" s="1"/>
  <c r="AF10" i="84" l="1"/>
  <c r="X15" i="10" s="1"/>
  <c r="AG10" i="84"/>
  <c r="Q4" i="57"/>
  <c r="S16" i="84"/>
  <c r="AG9" i="84"/>
  <c r="AF9" i="84"/>
  <c r="C33" i="6"/>
  <c r="C19" i="6"/>
  <c r="D16" i="6"/>
  <c r="J35" i="31" s="1"/>
  <c r="C18" i="6"/>
  <c r="C24" i="6"/>
  <c r="C21" i="6"/>
  <c r="D33" i="6"/>
  <c r="D32" i="6"/>
  <c r="D31" i="6"/>
  <c r="B3" i="6"/>
  <c r="B5" i="6" s="1"/>
  <c r="C28" i="6"/>
  <c r="C27" i="6"/>
  <c r="C25" i="6"/>
  <c r="C11" i="6"/>
  <c r="D34" i="6"/>
  <c r="C29" i="6"/>
  <c r="C20" i="6"/>
  <c r="C12" i="6"/>
  <c r="D29" i="6"/>
  <c r="D24" i="6"/>
  <c r="C15" i="6"/>
  <c r="D28" i="6"/>
  <c r="D23" i="6"/>
  <c r="D10" i="6"/>
  <c r="D26" i="6"/>
  <c r="D11" i="6"/>
  <c r="J30" i="31" s="1"/>
  <c r="D14" i="6"/>
  <c r="J33" i="31" s="1"/>
  <c r="D30" i="6"/>
  <c r="D25" i="6"/>
  <c r="C16" i="6"/>
  <c r="D9" i="6"/>
  <c r="J28" i="31" s="1"/>
  <c r="C14" i="6"/>
  <c r="C8" i="6"/>
  <c r="C36" i="6"/>
  <c r="D20" i="6"/>
  <c r="C9" i="6"/>
  <c r="D8" i="6"/>
  <c r="J27" i="31" s="1"/>
  <c r="D17" i="6"/>
  <c r="J36" i="31" s="1"/>
  <c r="C35" i="6"/>
  <c r="C26" i="6"/>
  <c r="D35" i="6"/>
  <c r="C10" i="6"/>
  <c r="C17" i="6"/>
  <c r="D19" i="6"/>
  <c r="D13" i="6"/>
  <c r="D15" i="6"/>
  <c r="J34" i="31" s="1"/>
  <c r="C37" i="6"/>
  <c r="D21" i="6"/>
  <c r="D37" i="6"/>
  <c r="C32" i="6"/>
  <c r="C23" i="6"/>
  <c r="C13" i="6"/>
  <c r="D36" i="6"/>
  <c r="C31" i="6"/>
  <c r="C22" i="6"/>
  <c r="C34" i="6"/>
  <c r="C30" i="6"/>
  <c r="P9" i="6"/>
  <c r="P8" i="6"/>
  <c r="J29" i="31"/>
  <c r="S11" i="48"/>
  <c r="C13" i="19"/>
  <c r="L13" i="19" s="1"/>
  <c r="U13" i="19" s="1"/>
  <c r="C12" i="19"/>
  <c r="L12" i="19" s="1"/>
  <c r="U12" i="19" s="1"/>
  <c r="W39" i="6"/>
  <c r="D12" i="6"/>
  <c r="J31" i="31" s="1"/>
  <c r="D27" i="6"/>
  <c r="J32" i="31"/>
  <c r="I11" i="36"/>
  <c r="AJ39" i="6"/>
  <c r="M11" i="48"/>
  <c r="H3" i="77"/>
  <c r="I3" i="77" s="1"/>
  <c r="J3" i="77" s="1"/>
  <c r="K3" i="77" s="1"/>
  <c r="L3" i="77" s="1"/>
  <c r="M3" i="77" s="1"/>
  <c r="N3" i="77" s="1"/>
  <c r="O3" i="77" s="1"/>
  <c r="P3" i="77" s="1"/>
  <c r="Q3" i="77" s="1"/>
  <c r="R3" i="77" s="1"/>
  <c r="S3" i="77" s="1"/>
  <c r="I17" i="45"/>
  <c r="AE11" i="6"/>
  <c r="T30" i="31" s="1"/>
  <c r="AE8" i="6"/>
  <c r="AF8" i="6" s="1"/>
  <c r="AE13" i="6"/>
  <c r="T32" i="31" s="1"/>
  <c r="AE12" i="6"/>
  <c r="T31" i="31" s="1"/>
  <c r="AE37" i="6"/>
  <c r="AE33" i="6"/>
  <c r="AE29" i="6"/>
  <c r="AE25" i="6"/>
  <c r="AE21" i="6"/>
  <c r="AE17" i="6"/>
  <c r="T36" i="31" s="1"/>
  <c r="AE10" i="6"/>
  <c r="T29" i="31" s="1"/>
  <c r="AE30" i="6"/>
  <c r="AE18" i="6"/>
  <c r="AE36" i="6"/>
  <c r="AE32" i="6"/>
  <c r="AE28" i="6"/>
  <c r="AE24" i="6"/>
  <c r="AE20" i="6"/>
  <c r="AE16" i="6"/>
  <c r="T35" i="31" s="1"/>
  <c r="AE22" i="6"/>
  <c r="AE9" i="6"/>
  <c r="T28" i="31" s="1"/>
  <c r="AE35" i="6"/>
  <c r="AE31" i="6"/>
  <c r="AE27" i="6"/>
  <c r="AE23" i="6"/>
  <c r="AE19" i="6"/>
  <c r="AE15" i="6"/>
  <c r="T34" i="31" s="1"/>
  <c r="AE34" i="6"/>
  <c r="AE26" i="6"/>
  <c r="AE14" i="6"/>
  <c r="T33" i="31" s="1"/>
  <c r="AI7" i="45"/>
  <c r="A24" i="83"/>
  <c r="AI10" i="45"/>
  <c r="AI12" i="45"/>
  <c r="AI9" i="45"/>
  <c r="AI14" i="45"/>
  <c r="AI13" i="45"/>
  <c r="AF16" i="31"/>
  <c r="AF24" i="31" s="1"/>
  <c r="E19" i="54"/>
  <c r="E20" i="54"/>
  <c r="E34" i="54"/>
  <c r="E37" i="54" s="1"/>
  <c r="E21" i="54"/>
  <c r="E22" i="54"/>
  <c r="E35" i="54"/>
  <c r="F16" i="54"/>
  <c r="F22" i="54" s="1"/>
  <c r="E23" i="54"/>
  <c r="E45" i="54"/>
  <c r="E36" i="54"/>
  <c r="E18" i="54"/>
  <c r="AH8" i="36"/>
  <c r="L11" i="36" s="1"/>
  <c r="L17" i="36" s="1"/>
  <c r="R17" i="21"/>
  <c r="G3" i="61"/>
  <c r="H3" i="50"/>
  <c r="D36" i="24"/>
  <c r="C4" i="24" s="1"/>
  <c r="K54" i="24"/>
  <c r="K18" i="24" s="1"/>
  <c r="E53" i="24"/>
  <c r="F17" i="24"/>
  <c r="Z17" i="24"/>
  <c r="D54" i="24"/>
  <c r="P10" i="6"/>
  <c r="P11" i="6"/>
  <c r="R14" i="6"/>
  <c r="O33" i="31" s="1"/>
  <c r="R8" i="6"/>
  <c r="O27" i="31" s="1"/>
  <c r="R23" i="6"/>
  <c r="R19" i="6"/>
  <c r="R15" i="6"/>
  <c r="O34" i="31" s="1"/>
  <c r="R34" i="6"/>
  <c r="R30" i="6"/>
  <c r="R21" i="6"/>
  <c r="R17" i="6"/>
  <c r="O36" i="31" s="1"/>
  <c r="R32" i="6"/>
  <c r="R10" i="6"/>
  <c r="O29" i="31" s="1"/>
  <c r="R12" i="6"/>
  <c r="O31" i="31" s="1"/>
  <c r="R26" i="6"/>
  <c r="R22" i="6"/>
  <c r="R18" i="6"/>
  <c r="R37" i="6"/>
  <c r="R33" i="6"/>
  <c r="R29" i="6"/>
  <c r="R9" i="6"/>
  <c r="O28" i="31" s="1"/>
  <c r="R25" i="6"/>
  <c r="R36" i="6"/>
  <c r="R28" i="6"/>
  <c r="R11" i="6"/>
  <c r="O30" i="31" s="1"/>
  <c r="R13" i="6"/>
  <c r="O32" i="31" s="1"/>
  <c r="R24" i="6"/>
  <c r="R20" i="6"/>
  <c r="R16" i="6"/>
  <c r="O35" i="31" s="1"/>
  <c r="R35" i="6"/>
  <c r="R31" i="6"/>
  <c r="R27" i="6"/>
  <c r="X16" i="10"/>
  <c r="D15" i="54"/>
  <c r="BY13" i="36"/>
  <c r="AH14" i="36" s="1"/>
  <c r="Q32" i="50"/>
  <c r="X10" i="45"/>
  <c r="U13" i="45"/>
  <c r="U12" i="45"/>
  <c r="U13" i="20"/>
  <c r="U12" i="20"/>
  <c r="X10" i="20"/>
  <c r="I13" i="36"/>
  <c r="I12" i="36"/>
  <c r="I13" i="21"/>
  <c r="I12" i="21"/>
  <c r="P14" i="6"/>
  <c r="P13" i="6"/>
  <c r="P37" i="6"/>
  <c r="P33" i="6"/>
  <c r="P29" i="6"/>
  <c r="P25" i="6"/>
  <c r="P21" i="6"/>
  <c r="P17" i="6"/>
  <c r="P30" i="6"/>
  <c r="P36" i="6"/>
  <c r="P32" i="6"/>
  <c r="P28" i="6"/>
  <c r="P24" i="6"/>
  <c r="P20" i="6"/>
  <c r="P16" i="6"/>
  <c r="P26" i="6"/>
  <c r="P18" i="6"/>
  <c r="P35" i="6"/>
  <c r="P31" i="6"/>
  <c r="P27" i="6"/>
  <c r="P23" i="6"/>
  <c r="P19" i="6"/>
  <c r="P15" i="6"/>
  <c r="P34" i="6"/>
  <c r="P22" i="6"/>
  <c r="X13" i="36"/>
  <c r="X12" i="36"/>
  <c r="X10" i="21"/>
  <c r="U13" i="21"/>
  <c r="U12" i="21"/>
  <c r="AK8" i="21"/>
  <c r="U11" i="21" s="1"/>
  <c r="AK16" i="21"/>
  <c r="AK23" i="21" s="1"/>
  <c r="CB13" i="21"/>
  <c r="CA13" i="20"/>
  <c r="AJ16" i="20"/>
  <c r="AJ23" i="20" s="1"/>
  <c r="AJ8" i="20"/>
  <c r="R11" i="20" s="1"/>
  <c r="R17" i="20" s="1"/>
  <c r="AG5" i="20"/>
  <c r="AK5" i="36"/>
  <c r="X9" i="36"/>
  <c r="AG13" i="45"/>
  <c r="AG9" i="45"/>
  <c r="AG10" i="45"/>
  <c r="AG11" i="45"/>
  <c r="AG14" i="45"/>
  <c r="AG12" i="45"/>
  <c r="AG7" i="45"/>
  <c r="AG13" i="36"/>
  <c r="AG14" i="36"/>
  <c r="AG10" i="36"/>
  <c r="AG12" i="36"/>
  <c r="AG9" i="36"/>
  <c r="AG7" i="36"/>
  <c r="AG11" i="36"/>
  <c r="AJ11" i="21"/>
  <c r="AJ13" i="21"/>
  <c r="AJ10" i="21"/>
  <c r="AJ12" i="21"/>
  <c r="AJ9" i="21"/>
  <c r="AJ14" i="21"/>
  <c r="AJ7" i="21"/>
  <c r="AK5" i="45"/>
  <c r="X9" i="45"/>
  <c r="AL5" i="21"/>
  <c r="X9" i="20"/>
  <c r="AK5" i="20"/>
  <c r="AH16" i="21"/>
  <c r="AH23" i="21" s="1"/>
  <c r="BY13" i="21"/>
  <c r="AH8" i="21"/>
  <c r="L11" i="21" s="1"/>
  <c r="L17" i="21" s="1"/>
  <c r="AJ16" i="36"/>
  <c r="AJ23" i="36" s="1"/>
  <c r="CA13" i="36"/>
  <c r="AJ8" i="36"/>
  <c r="R11" i="36" s="1"/>
  <c r="R17" i="36" s="1"/>
  <c r="G44" i="54"/>
  <c r="G7" i="54"/>
  <c r="G14" i="54" s="1"/>
  <c r="G17" i="13"/>
  <c r="BY17" i="13"/>
  <c r="BY13" i="45"/>
  <c r="AH8" i="45"/>
  <c r="L11" i="45" s="1"/>
  <c r="L17" i="45" s="1"/>
  <c r="AH16" i="45"/>
  <c r="AH23" i="45" s="1"/>
  <c r="AH8" i="20"/>
  <c r="L11" i="20" s="1"/>
  <c r="L17" i="20" s="1"/>
  <c r="BY13" i="20"/>
  <c r="AH16" i="20"/>
  <c r="AH23" i="20" s="1"/>
  <c r="D45" i="54"/>
  <c r="D23" i="54"/>
  <c r="D22" i="54"/>
  <c r="D21" i="54"/>
  <c r="D20" i="54"/>
  <c r="D19" i="54"/>
  <c r="D18" i="54"/>
  <c r="D36" i="54"/>
  <c r="D34" i="54"/>
  <c r="D31" i="54"/>
  <c r="D35" i="54"/>
  <c r="AG5" i="21"/>
  <c r="AJ8" i="45"/>
  <c r="R11" i="45" s="1"/>
  <c r="R17" i="45" s="1"/>
  <c r="AJ16" i="45"/>
  <c r="AJ23" i="45" s="1"/>
  <c r="CA13" i="45"/>
  <c r="AE24" i="31"/>
  <c r="AE26" i="31"/>
  <c r="T9" i="57"/>
  <c r="T41" i="57" s="1"/>
  <c r="Q41" i="57"/>
  <c r="AH10" i="84" l="1"/>
  <c r="AJ10" i="84" s="1"/>
  <c r="V8" i="84" s="1"/>
  <c r="M15" i="10"/>
  <c r="M16" i="10" s="1"/>
  <c r="AH9" i="84"/>
  <c r="AJ9" i="84" s="1"/>
  <c r="V7" i="84" s="1"/>
  <c r="T27" i="31"/>
  <c r="Q27" i="31"/>
  <c r="AG8" i="6"/>
  <c r="P29" i="84"/>
  <c r="V29" i="84" s="1"/>
  <c r="F19" i="54"/>
  <c r="F23" i="54"/>
  <c r="F31" i="54"/>
  <c r="K57" i="24"/>
  <c r="L57" i="24" s="1"/>
  <c r="L54" i="24"/>
  <c r="E24" i="54"/>
  <c r="E25" i="54" s="1"/>
  <c r="E46" i="54" s="1"/>
  <c r="F34" i="54"/>
  <c r="F20" i="54"/>
  <c r="F45" i="54"/>
  <c r="F36" i="54"/>
  <c r="F21" i="54"/>
  <c r="F35" i="54"/>
  <c r="F18" i="54"/>
  <c r="AH13" i="36"/>
  <c r="AH7" i="36"/>
  <c r="AH11" i="36"/>
  <c r="AH9" i="36"/>
  <c r="AH12" i="36"/>
  <c r="AH10" i="36"/>
  <c r="D18" i="24"/>
  <c r="D57" i="24"/>
  <c r="E54" i="24"/>
  <c r="S8" i="6"/>
  <c r="I17" i="36"/>
  <c r="U17" i="21"/>
  <c r="X13" i="20"/>
  <c r="X12" i="20"/>
  <c r="X13" i="45"/>
  <c r="X12" i="45"/>
  <c r="X13" i="21"/>
  <c r="X12" i="21"/>
  <c r="D37" i="54"/>
  <c r="AH14" i="20"/>
  <c r="AH12" i="20"/>
  <c r="AH7" i="20"/>
  <c r="AH9" i="20"/>
  <c r="AH13" i="20"/>
  <c r="AH10" i="20"/>
  <c r="AH11" i="20"/>
  <c r="AJ10" i="20"/>
  <c r="AJ13" i="20"/>
  <c r="AJ11" i="20"/>
  <c r="AJ12" i="20"/>
  <c r="AJ7" i="20"/>
  <c r="AJ14" i="20"/>
  <c r="AJ9" i="20"/>
  <c r="AJ14" i="45"/>
  <c r="AJ12" i="45"/>
  <c r="AJ7" i="45"/>
  <c r="AJ13" i="45"/>
  <c r="AJ9" i="45"/>
  <c r="AJ10" i="45"/>
  <c r="AJ11" i="45"/>
  <c r="AG8" i="21"/>
  <c r="I11" i="21" s="1"/>
  <c r="I17" i="21" s="1"/>
  <c r="BX13" i="21"/>
  <c r="AE12" i="21" s="1"/>
  <c r="AG16" i="21"/>
  <c r="AG23" i="21" s="1"/>
  <c r="AH10" i="45"/>
  <c r="AH11" i="45"/>
  <c r="AH14" i="45"/>
  <c r="AH12" i="45"/>
  <c r="AH7" i="45"/>
  <c r="AH13" i="45"/>
  <c r="AH9" i="45"/>
  <c r="G16" i="54"/>
  <c r="G15" i="54"/>
  <c r="AK16" i="45"/>
  <c r="AK23" i="45" s="1"/>
  <c r="CB13" i="45"/>
  <c r="AK8" i="45"/>
  <c r="U11" i="45" s="1"/>
  <c r="U17" i="45" s="1"/>
  <c r="BX13" i="20"/>
  <c r="AE12" i="20" s="1"/>
  <c r="AG16" i="20"/>
  <c r="AG23" i="20" s="1"/>
  <c r="AG8" i="20"/>
  <c r="I11" i="20" s="1"/>
  <c r="I17" i="20" s="1"/>
  <c r="AK14" i="21"/>
  <c r="AK12" i="21"/>
  <c r="AK7" i="21"/>
  <c r="AK9" i="21"/>
  <c r="AK11" i="21"/>
  <c r="AK13" i="21"/>
  <c r="AK10" i="21"/>
  <c r="D24" i="54"/>
  <c r="D25" i="54" s="1"/>
  <c r="D46" i="54" s="1"/>
  <c r="CB13" i="20"/>
  <c r="AK16" i="20"/>
  <c r="AK23" i="20" s="1"/>
  <c r="AK8" i="20"/>
  <c r="U11" i="20" s="1"/>
  <c r="U17" i="20" s="1"/>
  <c r="AL16" i="21"/>
  <c r="AL23" i="21" s="1"/>
  <c r="CC13" i="21"/>
  <c r="AL8" i="21"/>
  <c r="X11" i="21" s="1"/>
  <c r="AL5" i="36"/>
  <c r="Q21" i="50"/>
  <c r="G12" i="61"/>
  <c r="G26" i="61" s="1"/>
  <c r="G26" i="13"/>
  <c r="AJ14" i="36"/>
  <c r="AJ12" i="36"/>
  <c r="AJ9" i="36"/>
  <c r="AJ13" i="36"/>
  <c r="AJ11" i="36"/>
  <c r="AJ10" i="36"/>
  <c r="AJ7" i="36"/>
  <c r="AH13" i="21"/>
  <c r="AH9" i="21"/>
  <c r="AH14" i="21"/>
  <c r="AH11" i="21"/>
  <c r="AH7" i="21"/>
  <c r="AH10" i="21"/>
  <c r="AH12" i="21"/>
  <c r="AL5" i="20"/>
  <c r="AL5" i="45"/>
  <c r="AK16" i="36"/>
  <c r="AK23" i="36" s="1"/>
  <c r="CB13" i="36"/>
  <c r="AK8" i="36"/>
  <c r="U11" i="36" s="1"/>
  <c r="U17" i="36" s="1"/>
  <c r="AC14" i="57"/>
  <c r="V16" i="84" l="1"/>
  <c r="AI8" i="6"/>
  <c r="AF9" i="6"/>
  <c r="Q28" i="31" s="1"/>
  <c r="F37" i="54"/>
  <c r="F24" i="54"/>
  <c r="F25" i="54" s="1"/>
  <c r="F46" i="54" s="1"/>
  <c r="E57" i="24"/>
  <c r="F21" i="24"/>
  <c r="L27" i="31"/>
  <c r="T8" i="6"/>
  <c r="Q34" i="50"/>
  <c r="Q29" i="50"/>
  <c r="X17" i="21"/>
  <c r="AC12" i="57"/>
  <c r="AC7" i="57"/>
  <c r="Q30" i="50"/>
  <c r="AK13" i="36"/>
  <c r="AK12" i="36"/>
  <c r="AK10" i="36"/>
  <c r="AK14" i="36"/>
  <c r="AK11" i="36"/>
  <c r="AK9" i="36"/>
  <c r="AK7" i="36"/>
  <c r="AL16" i="20"/>
  <c r="AL23" i="20" s="1"/>
  <c r="AL8" i="20"/>
  <c r="X11" i="20" s="1"/>
  <c r="X17" i="20" s="1"/>
  <c r="CC13" i="20"/>
  <c r="AG11" i="20"/>
  <c r="AG14" i="20"/>
  <c r="AG12" i="20"/>
  <c r="AG7" i="20"/>
  <c r="AG9" i="20"/>
  <c r="AG13" i="20"/>
  <c r="AG10" i="20"/>
  <c r="AL13" i="21"/>
  <c r="AL9" i="21"/>
  <c r="AL12" i="21"/>
  <c r="AL14" i="21"/>
  <c r="AL11" i="21"/>
  <c r="AL7" i="21"/>
  <c r="AL10" i="21"/>
  <c r="AK13" i="20"/>
  <c r="AK11" i="20"/>
  <c r="AK12" i="20"/>
  <c r="AK7" i="20"/>
  <c r="AK14" i="20"/>
  <c r="AK9" i="20"/>
  <c r="AK10" i="20"/>
  <c r="CC13" i="45"/>
  <c r="AL8" i="45"/>
  <c r="X11" i="45" s="1"/>
  <c r="X17" i="45" s="1"/>
  <c r="AL16" i="45"/>
  <c r="AL23" i="45" s="1"/>
  <c r="AL16" i="36"/>
  <c r="AL23" i="36" s="1"/>
  <c r="CC13" i="36"/>
  <c r="AL8" i="36"/>
  <c r="X11" i="36" s="1"/>
  <c r="X17" i="36" s="1"/>
  <c r="AK13" i="45"/>
  <c r="AK9" i="45"/>
  <c r="AK10" i="45"/>
  <c r="AK11" i="45"/>
  <c r="AK14" i="45"/>
  <c r="AK12" i="45"/>
  <c r="AK7" i="45"/>
  <c r="G36" i="54"/>
  <c r="G35" i="54"/>
  <c r="G34" i="54"/>
  <c r="G31" i="54"/>
  <c r="G23" i="54"/>
  <c r="G21" i="54"/>
  <c r="G19" i="54"/>
  <c r="G45" i="54"/>
  <c r="G22" i="54"/>
  <c r="G20" i="54"/>
  <c r="G18" i="54"/>
  <c r="AG14" i="21"/>
  <c r="AG12" i="21"/>
  <c r="AG7" i="21"/>
  <c r="AG11" i="21"/>
  <c r="AG13" i="21"/>
  <c r="AG10" i="21"/>
  <c r="AG9" i="21"/>
  <c r="AC15" i="57"/>
  <c r="AC9" i="57"/>
  <c r="AG9" i="6" l="1"/>
  <c r="AI9" i="6" s="1"/>
  <c r="AH8" i="6"/>
  <c r="V8" i="6"/>
  <c r="U8" i="6" s="1"/>
  <c r="Y8" i="6" s="1"/>
  <c r="Z8" i="6" s="1"/>
  <c r="S9" i="6"/>
  <c r="B8" i="79"/>
  <c r="G24" i="54"/>
  <c r="G25" i="54" s="1"/>
  <c r="G46" i="54" s="1"/>
  <c r="AC8" i="57"/>
  <c r="G37" i="54"/>
  <c r="AL14" i="36"/>
  <c r="AL12" i="36"/>
  <c r="AL13" i="36"/>
  <c r="AL11" i="36"/>
  <c r="AL9" i="36"/>
  <c r="AL7" i="36"/>
  <c r="AL10" i="36"/>
  <c r="AL14" i="20"/>
  <c r="AL12" i="20"/>
  <c r="AL7" i="20"/>
  <c r="AL9" i="20"/>
  <c r="AL10" i="20"/>
  <c r="AL13" i="20"/>
  <c r="AL11" i="20"/>
  <c r="AL10" i="45"/>
  <c r="AL11" i="45"/>
  <c r="AL14" i="45"/>
  <c r="AL12" i="45"/>
  <c r="AL7" i="45"/>
  <c r="AL13" i="45"/>
  <c r="AL9" i="45"/>
  <c r="AH9" i="6" l="1"/>
  <c r="AL9" i="6" s="1"/>
  <c r="AF10" i="6"/>
  <c r="Q29" i="31" s="1"/>
  <c r="AL8" i="6"/>
  <c r="P26" i="13"/>
  <c r="P27" i="13" s="1"/>
  <c r="B4" i="79"/>
  <c r="P31" i="13"/>
  <c r="L28" i="31"/>
  <c r="T9" i="6"/>
  <c r="G11" i="31"/>
  <c r="G13" i="31" s="1"/>
  <c r="W12" i="31" s="1"/>
  <c r="G12" i="48"/>
  <c r="AC11" i="57"/>
  <c r="O20" i="20"/>
  <c r="E5" i="54"/>
  <c r="P30" i="13"/>
  <c r="R17" i="56"/>
  <c r="W17" i="56" s="1"/>
  <c r="CC12" i="13"/>
  <c r="P33" i="13" s="1"/>
  <c r="U4" i="13" s="1"/>
  <c r="R13" i="56"/>
  <c r="X25" i="13"/>
  <c r="B4" i="52"/>
  <c r="V4" i="61"/>
  <c r="V6" i="61" s="1"/>
  <c r="AG10" i="6" l="1"/>
  <c r="X26" i="13"/>
  <c r="R15" i="56"/>
  <c r="AM8" i="6"/>
  <c r="AM9" i="6" s="1"/>
  <c r="B16" i="79"/>
  <c r="D16" i="79"/>
  <c r="W16" i="31"/>
  <c r="V9" i="6"/>
  <c r="U9" i="6" s="1"/>
  <c r="Y9" i="6" s="1"/>
  <c r="Z9" i="6" s="1"/>
  <c r="S10" i="6"/>
  <c r="L29" i="31" s="1"/>
  <c r="G2" i="77"/>
  <c r="C2" i="77" s="1"/>
  <c r="G2" i="6"/>
  <c r="G4" i="6" s="1"/>
  <c r="F8" i="6" s="1"/>
  <c r="G18" i="31"/>
  <c r="J16" i="31" s="1"/>
  <c r="W11" i="31"/>
  <c r="AC18" i="57"/>
  <c r="L31" i="20"/>
  <c r="U31" i="20"/>
  <c r="O21" i="20"/>
  <c r="R31" i="20"/>
  <c r="O19" i="20"/>
  <c r="O31" i="20"/>
  <c r="O25" i="20"/>
  <c r="X31" i="20"/>
  <c r="O24" i="20"/>
  <c r="I31" i="20"/>
  <c r="K27" i="13"/>
  <c r="X27" i="13"/>
  <c r="T27" i="13" s="1"/>
  <c r="M24" i="56"/>
  <c r="CB12" i="13"/>
  <c r="X33" i="13" s="1"/>
  <c r="AE8" i="31"/>
  <c r="AC32" i="13"/>
  <c r="X30" i="13"/>
  <c r="AD32" i="13"/>
  <c r="X31" i="13"/>
  <c r="G17" i="48"/>
  <c r="Y17" i="48" s="1"/>
  <c r="Y12" i="48"/>
  <c r="V4" i="48"/>
  <c r="V4" i="36"/>
  <c r="V4" i="21"/>
  <c r="V4" i="45"/>
  <c r="U4" i="19"/>
  <c r="V4" i="50"/>
  <c r="V4" i="20"/>
  <c r="E6" i="54"/>
  <c r="E11" i="54"/>
  <c r="E10" i="54"/>
  <c r="E27" i="54" s="1"/>
  <c r="E29" i="54" s="1"/>
  <c r="E32" i="54" s="1"/>
  <c r="E50" i="54"/>
  <c r="AI10" i="6" l="1"/>
  <c r="AF11" i="6"/>
  <c r="Q30" i="31" s="1"/>
  <c r="E2" i="77"/>
  <c r="G5" i="77"/>
  <c r="H19" i="84"/>
  <c r="S19" i="84" s="1"/>
  <c r="E5" i="77"/>
  <c r="P19" i="84"/>
  <c r="D17" i="79"/>
  <c r="D18" i="79" s="1"/>
  <c r="BF2" i="50"/>
  <c r="W13" i="31"/>
  <c r="AE11" i="31" s="1"/>
  <c r="AF8" i="31" s="1"/>
  <c r="T10" i="6"/>
  <c r="BF20" i="50"/>
  <c r="BF11" i="50"/>
  <c r="BE2" i="8"/>
  <c r="BE3" i="8"/>
  <c r="E47" i="54"/>
  <c r="E39" i="54"/>
  <c r="E48" i="54" s="1"/>
  <c r="H2" i="77"/>
  <c r="I2" i="77" s="1"/>
  <c r="J2" i="77" s="1"/>
  <c r="K2" i="77" s="1"/>
  <c r="L2" i="77" s="1"/>
  <c r="M2" i="77" s="1"/>
  <c r="N2" i="77" s="1"/>
  <c r="O19" i="36"/>
  <c r="O20" i="36" s="1"/>
  <c r="O19" i="45"/>
  <c r="O20" i="45" s="1"/>
  <c r="O19" i="21"/>
  <c r="I33" i="20"/>
  <c r="I34" i="20"/>
  <c r="O33" i="20"/>
  <c r="O34" i="20"/>
  <c r="U34" i="20"/>
  <c r="U33" i="20"/>
  <c r="F6" i="54"/>
  <c r="D6" i="54"/>
  <c r="D5" i="54" s="1"/>
  <c r="G8" i="6"/>
  <c r="G27" i="31"/>
  <c r="W27" i="31" s="1"/>
  <c r="AO8" i="6"/>
  <c r="AO39" i="6" s="1"/>
  <c r="B6" i="20"/>
  <c r="V4" i="31"/>
  <c r="L19" i="20"/>
  <c r="R19" i="20"/>
  <c r="L34" i="20"/>
  <c r="L33" i="20"/>
  <c r="X34" i="20"/>
  <c r="X33" i="20"/>
  <c r="R34" i="20"/>
  <c r="R33" i="20"/>
  <c r="H5" i="77" l="1"/>
  <c r="G16" i="77" s="1"/>
  <c r="G17" i="77" s="1"/>
  <c r="AH10" i="6"/>
  <c r="AG11" i="6"/>
  <c r="O2" i="77"/>
  <c r="P2" i="77" s="1"/>
  <c r="Q2" i="77" s="1"/>
  <c r="R2" i="77" s="1"/>
  <c r="S2" i="77" s="1"/>
  <c r="C11" i="19"/>
  <c r="L11" i="19" s="1"/>
  <c r="U11" i="19" s="1"/>
  <c r="G11" i="48"/>
  <c r="V19" i="84"/>
  <c r="V31" i="84" s="1"/>
  <c r="V33" i="84" s="1"/>
  <c r="P33" i="84" s="1"/>
  <c r="P32" i="58" s="1"/>
  <c r="G13" i="77"/>
  <c r="H13" i="77" s="1"/>
  <c r="I13" i="77" s="1"/>
  <c r="J13" i="77" s="1"/>
  <c r="K13" i="77" s="1"/>
  <c r="L13" i="77" s="1"/>
  <c r="M13" i="77" s="1"/>
  <c r="N13" i="77" s="1"/>
  <c r="O13" i="77" s="1"/>
  <c r="P13" i="77" s="1"/>
  <c r="C5" i="77"/>
  <c r="AE20" i="31"/>
  <c r="AE27" i="31" s="1"/>
  <c r="D31" i="79"/>
  <c r="D34" i="79" s="1"/>
  <c r="B17" i="79"/>
  <c r="B18" i="79"/>
  <c r="B31" i="79" s="1"/>
  <c r="B35" i="79" s="1"/>
  <c r="B36" i="79" s="1"/>
  <c r="V10" i="6"/>
  <c r="U10" i="6" s="1"/>
  <c r="Y10" i="6" s="1"/>
  <c r="Z10" i="6" s="1"/>
  <c r="S11" i="6"/>
  <c r="R20" i="20"/>
  <c r="U19" i="20"/>
  <c r="AF20" i="31"/>
  <c r="F9" i="6"/>
  <c r="AP8" i="6"/>
  <c r="AP39" i="6" s="1"/>
  <c r="I8" i="6"/>
  <c r="H8" i="6" s="1"/>
  <c r="L8" i="6" s="1"/>
  <c r="M8" i="6" s="1"/>
  <c r="O20" i="21"/>
  <c r="L19" i="21"/>
  <c r="R19" i="21"/>
  <c r="B6" i="21"/>
  <c r="I19" i="20"/>
  <c r="I20" i="20" s="1"/>
  <c r="L20" i="20"/>
  <c r="D10" i="54"/>
  <c r="D27" i="54" s="1"/>
  <c r="D29" i="54" s="1"/>
  <c r="D32" i="54" s="1"/>
  <c r="D11" i="54"/>
  <c r="U31" i="45"/>
  <c r="I31" i="45"/>
  <c r="O25" i="45"/>
  <c r="X31" i="45"/>
  <c r="O21" i="45"/>
  <c r="O24" i="45"/>
  <c r="L31" i="45"/>
  <c r="L20" i="45"/>
  <c r="O31" i="45"/>
  <c r="R31" i="45"/>
  <c r="R20" i="45"/>
  <c r="F5" i="54"/>
  <c r="G6" i="54"/>
  <c r="G5" i="54" s="1"/>
  <c r="X31" i="36"/>
  <c r="L31" i="36"/>
  <c r="I20" i="36"/>
  <c r="R20" i="36"/>
  <c r="U31" i="36"/>
  <c r="R31" i="36"/>
  <c r="O31" i="36"/>
  <c r="O25" i="36"/>
  <c r="I31" i="36"/>
  <c r="L20" i="36"/>
  <c r="O24" i="36"/>
  <c r="O21" i="36"/>
  <c r="B6" i="36"/>
  <c r="I5" i="77" l="1"/>
  <c r="AF12" i="6"/>
  <c r="Q31" i="31" s="1"/>
  <c r="AI11" i="6"/>
  <c r="AL10" i="6"/>
  <c r="AE25" i="31"/>
  <c r="AE21" i="31" s="1"/>
  <c r="H33" i="84"/>
  <c r="L30" i="31"/>
  <c r="T11" i="6"/>
  <c r="O33" i="36"/>
  <c r="O34" i="36"/>
  <c r="R33" i="45"/>
  <c r="R34" i="45"/>
  <c r="I34" i="45"/>
  <c r="I33" i="45"/>
  <c r="L19" i="36"/>
  <c r="L21" i="36"/>
  <c r="L25" i="36"/>
  <c r="L24" i="36"/>
  <c r="R34" i="36"/>
  <c r="R33" i="36"/>
  <c r="L34" i="36"/>
  <c r="L33" i="36"/>
  <c r="Q33" i="50"/>
  <c r="O33" i="45"/>
  <c r="O34" i="45"/>
  <c r="U33" i="45"/>
  <c r="U34" i="45"/>
  <c r="I19" i="21"/>
  <c r="I20" i="21" s="1"/>
  <c r="L20" i="21"/>
  <c r="G9" i="6"/>
  <c r="G28" i="31"/>
  <c r="AO9" i="6"/>
  <c r="X19" i="20"/>
  <c r="X20" i="20" s="1"/>
  <c r="U20" i="20"/>
  <c r="I33" i="36"/>
  <c r="I34" i="36"/>
  <c r="U33" i="36"/>
  <c r="U34" i="36"/>
  <c r="X33" i="36"/>
  <c r="X34" i="36"/>
  <c r="I20" i="45"/>
  <c r="L19" i="45"/>
  <c r="L25" i="45"/>
  <c r="L24" i="45"/>
  <c r="L21" i="45"/>
  <c r="X34" i="45"/>
  <c r="X33" i="45"/>
  <c r="X31" i="21"/>
  <c r="R31" i="21"/>
  <c r="I31" i="21"/>
  <c r="O24" i="21"/>
  <c r="O25" i="21"/>
  <c r="L31" i="21"/>
  <c r="U31" i="21"/>
  <c r="O31" i="21"/>
  <c r="O21" i="21"/>
  <c r="R24" i="20"/>
  <c r="R21" i="20"/>
  <c r="R25" i="20"/>
  <c r="R25" i="36"/>
  <c r="R24" i="36"/>
  <c r="R21" i="36"/>
  <c r="R19" i="36"/>
  <c r="U20" i="36"/>
  <c r="G10" i="54"/>
  <c r="G27" i="54" s="1"/>
  <c r="G29" i="54" s="1"/>
  <c r="G32" i="54" s="1"/>
  <c r="G11" i="54"/>
  <c r="R19" i="45"/>
  <c r="R21" i="45"/>
  <c r="R25" i="45"/>
  <c r="R24" i="45"/>
  <c r="U20" i="45"/>
  <c r="L33" i="45"/>
  <c r="L34" i="45"/>
  <c r="D39" i="54"/>
  <c r="D48" i="54" s="1"/>
  <c r="D47" i="54"/>
  <c r="L25" i="20"/>
  <c r="L21" i="20"/>
  <c r="L24" i="20"/>
  <c r="I21" i="36"/>
  <c r="I25" i="36"/>
  <c r="I24" i="36"/>
  <c r="I19" i="36"/>
  <c r="F10" i="54"/>
  <c r="F27" i="54" s="1"/>
  <c r="F29" i="54" s="1"/>
  <c r="F32" i="54" s="1"/>
  <c r="F11" i="54"/>
  <c r="I21" i="20"/>
  <c r="I24" i="20"/>
  <c r="I25" i="20"/>
  <c r="U19" i="21"/>
  <c r="R20" i="21"/>
  <c r="AF26" i="31"/>
  <c r="AF27" i="31" s="1"/>
  <c r="AF25" i="31"/>
  <c r="AF21" i="31" s="1"/>
  <c r="H16" i="77" l="1"/>
  <c r="H17" i="77" s="1"/>
  <c r="J5" i="77"/>
  <c r="W29" i="31"/>
  <c r="W32" i="31" s="1"/>
  <c r="AG12" i="6"/>
  <c r="AF13" i="6" s="1"/>
  <c r="Q32" i="31" s="1"/>
  <c r="AM10" i="6"/>
  <c r="AH11" i="6"/>
  <c r="E51" i="54"/>
  <c r="V11" i="6"/>
  <c r="U11" i="6" s="1"/>
  <c r="Y11" i="6" s="1"/>
  <c r="Z11" i="6" s="1"/>
  <c r="S12" i="6"/>
  <c r="L31" i="31" s="1"/>
  <c r="X20" i="45"/>
  <c r="U24" i="45"/>
  <c r="U19" i="45"/>
  <c r="U21" i="45"/>
  <c r="U25" i="45"/>
  <c r="X33" i="21"/>
  <c r="X34" i="21"/>
  <c r="F39" i="54"/>
  <c r="F48" i="54" s="1"/>
  <c r="F47" i="54"/>
  <c r="O34" i="21"/>
  <c r="O33" i="21"/>
  <c r="U21" i="20"/>
  <c r="U25" i="20"/>
  <c r="U24" i="20"/>
  <c r="AP9" i="6"/>
  <c r="I9" i="6"/>
  <c r="H9" i="6" s="1"/>
  <c r="L9" i="6" s="1"/>
  <c r="M9" i="6" s="1"/>
  <c r="F10" i="6"/>
  <c r="R25" i="21"/>
  <c r="R24" i="21"/>
  <c r="R21" i="21"/>
  <c r="G39" i="54"/>
  <c r="G48" i="54" s="1"/>
  <c r="G47" i="54"/>
  <c r="U34" i="21"/>
  <c r="U33" i="21"/>
  <c r="I34" i="21"/>
  <c r="I33" i="21"/>
  <c r="I21" i="45"/>
  <c r="I19" i="45"/>
  <c r="I25" i="45"/>
  <c r="I24" i="45"/>
  <c r="X24" i="20"/>
  <c r="X25" i="20"/>
  <c r="X21" i="20"/>
  <c r="L21" i="21"/>
  <c r="L25" i="21"/>
  <c r="L24" i="21"/>
  <c r="X19" i="21"/>
  <c r="X20" i="21" s="1"/>
  <c r="U20" i="21"/>
  <c r="U19" i="36"/>
  <c r="U21" i="36"/>
  <c r="X20" i="36"/>
  <c r="U25" i="36"/>
  <c r="U24" i="36"/>
  <c r="L34" i="21"/>
  <c r="L33" i="21"/>
  <c r="R33" i="21"/>
  <c r="R34" i="21"/>
  <c r="I21" i="21"/>
  <c r="I24" i="21"/>
  <c r="I25" i="21"/>
  <c r="K5" i="77" l="1"/>
  <c r="I16" i="77"/>
  <c r="I17" i="77" s="1"/>
  <c r="AI12" i="6"/>
  <c r="AH12" i="6" s="1"/>
  <c r="AL12" i="6" s="1"/>
  <c r="AG13" i="6"/>
  <c r="AL11" i="6"/>
  <c r="T12" i="6"/>
  <c r="U25" i="21"/>
  <c r="U24" i="21"/>
  <c r="U21" i="21"/>
  <c r="G10" i="6"/>
  <c r="G29" i="31"/>
  <c r="AO10" i="6"/>
  <c r="X19" i="36"/>
  <c r="X21" i="36"/>
  <c r="X24" i="36"/>
  <c r="X25" i="36"/>
  <c r="X21" i="21"/>
  <c r="X24" i="21"/>
  <c r="X25" i="21"/>
  <c r="X19" i="45"/>
  <c r="X21" i="45"/>
  <c r="X25" i="45"/>
  <c r="X24" i="45"/>
  <c r="J16" i="77" l="1"/>
  <c r="J17" i="77" s="1"/>
  <c r="L5" i="77"/>
  <c r="AM11" i="6"/>
  <c r="AM12" i="6" s="1"/>
  <c r="AI13" i="6"/>
  <c r="AH13" i="6" s="1"/>
  <c r="AF14" i="6"/>
  <c r="Q33" i="31" s="1"/>
  <c r="S13" i="6"/>
  <c r="L32" i="31" s="1"/>
  <c r="V12" i="6"/>
  <c r="U12" i="6" s="1"/>
  <c r="Y12" i="6" s="1"/>
  <c r="Z12" i="6" s="1"/>
  <c r="F11" i="6"/>
  <c r="AP10" i="6"/>
  <c r="I10" i="6"/>
  <c r="H10" i="6" s="1"/>
  <c r="L10" i="6" s="1"/>
  <c r="M10" i="6" s="1"/>
  <c r="M5" i="77" l="1"/>
  <c r="K16" i="77"/>
  <c r="K17" i="77" s="1"/>
  <c r="AL13" i="6"/>
  <c r="AG14" i="6"/>
  <c r="T13" i="6"/>
  <c r="G11" i="6"/>
  <c r="AO11" i="6"/>
  <c r="G30" i="31"/>
  <c r="L16" i="77" l="1"/>
  <c r="L17" i="77" s="1"/>
  <c r="N5" i="77"/>
  <c r="AI14" i="6"/>
  <c r="AH14" i="6" s="1"/>
  <c r="AF15" i="6"/>
  <c r="Q34" i="31" s="1"/>
  <c r="AM13" i="6"/>
  <c r="V13" i="6"/>
  <c r="U13" i="6" s="1"/>
  <c r="Y13" i="6" s="1"/>
  <c r="Z13" i="6" s="1"/>
  <c r="S14" i="6"/>
  <c r="I11" i="6"/>
  <c r="H11" i="6" s="1"/>
  <c r="L11" i="6" s="1"/>
  <c r="M11" i="6" s="1"/>
  <c r="F12" i="6"/>
  <c r="AP11" i="6"/>
  <c r="O5" i="77" l="1"/>
  <c r="M16" i="77"/>
  <c r="M17" i="77" s="1"/>
  <c r="AL14" i="6"/>
  <c r="AG15" i="6"/>
  <c r="T14" i="6"/>
  <c r="L33" i="31"/>
  <c r="G31" i="31"/>
  <c r="AO12" i="6"/>
  <c r="G12" i="6"/>
  <c r="N16" i="77" l="1"/>
  <c r="N17" i="77" s="1"/>
  <c r="P5" i="77"/>
  <c r="AI15" i="6"/>
  <c r="AH15" i="6" s="1"/>
  <c r="AL15" i="6" s="1"/>
  <c r="AF16" i="6"/>
  <c r="Q35" i="31" s="1"/>
  <c r="AM14" i="6"/>
  <c r="S15" i="6"/>
  <c r="V14" i="6"/>
  <c r="U14" i="6" s="1"/>
  <c r="Y14" i="6" s="1"/>
  <c r="Z14" i="6" s="1"/>
  <c r="F13" i="6"/>
  <c r="I12" i="6"/>
  <c r="H12" i="6" s="1"/>
  <c r="L12" i="6" s="1"/>
  <c r="M12" i="6" s="1"/>
  <c r="AP12" i="6"/>
  <c r="O16" i="77" l="1"/>
  <c r="O17" i="77" s="1"/>
  <c r="Q5" i="77"/>
  <c r="AG16" i="6"/>
  <c r="AI16" i="6" s="1"/>
  <c r="AH16" i="6" s="1"/>
  <c r="AL16" i="6" s="1"/>
  <c r="AM16" i="6" s="1"/>
  <c r="AM15" i="6"/>
  <c r="T15" i="6"/>
  <c r="L34" i="31"/>
  <c r="G13" i="6"/>
  <c r="G32" i="31"/>
  <c r="AO13" i="6"/>
  <c r="R5" i="77" l="1"/>
  <c r="S5" i="77" s="1"/>
  <c r="T5" i="77" s="1"/>
  <c r="U5" i="77" s="1"/>
  <c r="V5" i="77" s="1"/>
  <c r="W5" i="77" s="1"/>
  <c r="X5" i="77" s="1"/>
  <c r="Y5" i="77" s="1"/>
  <c r="Z5" i="77" s="1"/>
  <c r="AA5" i="77" s="1"/>
  <c r="AB5" i="77" s="1"/>
  <c r="AC5" i="77" s="1"/>
  <c r="AD5" i="77" s="1"/>
  <c r="AE5" i="77" s="1"/>
  <c r="AF5" i="77" s="1"/>
  <c r="AG5" i="77" s="1"/>
  <c r="AH5" i="77" s="1"/>
  <c r="AI5" i="77" s="1"/>
  <c r="AJ5" i="77" s="1"/>
  <c r="AK5" i="77" s="1"/>
  <c r="P16" i="77"/>
  <c r="P17" i="77" s="1"/>
  <c r="AF17" i="6"/>
  <c r="Q36" i="31" s="1"/>
  <c r="S16" i="6"/>
  <c r="L35" i="31" s="1"/>
  <c r="V15" i="6"/>
  <c r="U15" i="6" s="1"/>
  <c r="Y15" i="6" s="1"/>
  <c r="Z15" i="6" s="1"/>
  <c r="F14" i="6"/>
  <c r="I13" i="6"/>
  <c r="H13" i="6" s="1"/>
  <c r="L13" i="6" s="1"/>
  <c r="M13" i="6" s="1"/>
  <c r="AP13" i="6"/>
  <c r="AG17" i="6" l="1"/>
  <c r="AF18" i="6" s="1"/>
  <c r="AG18" i="6" s="1"/>
  <c r="AI18" i="6" s="1"/>
  <c r="AH18" i="6" s="1"/>
  <c r="AL18" i="6" s="1"/>
  <c r="T16" i="6"/>
  <c r="G14" i="6"/>
  <c r="G33" i="31"/>
  <c r="AO14" i="6"/>
  <c r="AF19" i="6" l="1"/>
  <c r="AG19" i="6" s="1"/>
  <c r="AI19" i="6" s="1"/>
  <c r="AH19" i="6" s="1"/>
  <c r="AL19" i="6" s="1"/>
  <c r="AI17" i="6"/>
  <c r="AH17" i="6" s="1"/>
  <c r="AL17" i="6" s="1"/>
  <c r="AM17" i="6" s="1"/>
  <c r="AM18" i="6" s="1"/>
  <c r="V16" i="6"/>
  <c r="U16" i="6" s="1"/>
  <c r="Y16" i="6" s="1"/>
  <c r="Z16" i="6" s="1"/>
  <c r="S17" i="6"/>
  <c r="I14" i="6"/>
  <c r="H14" i="6" s="1"/>
  <c r="L14" i="6" s="1"/>
  <c r="M14" i="6" s="1"/>
  <c r="F15" i="6"/>
  <c r="G15" i="6" s="1"/>
  <c r="AP14" i="6"/>
  <c r="AF20" i="6" l="1"/>
  <c r="AG20" i="6" s="1"/>
  <c r="AI20" i="6" s="1"/>
  <c r="AH20" i="6" s="1"/>
  <c r="AL20" i="6" s="1"/>
  <c r="AM20" i="6" s="1"/>
  <c r="AM19" i="6"/>
  <c r="T17" i="6"/>
  <c r="L36" i="31"/>
  <c r="I15" i="6"/>
  <c r="H15" i="6" s="1"/>
  <c r="L15" i="6" s="1"/>
  <c r="M15" i="6" s="1"/>
  <c r="F16" i="6"/>
  <c r="AP15" i="6"/>
  <c r="G34" i="31"/>
  <c r="AO15" i="6"/>
  <c r="AF21" i="6" l="1"/>
  <c r="AG21" i="6" s="1"/>
  <c r="AI21" i="6" s="1"/>
  <c r="S18" i="6"/>
  <c r="T18" i="6" s="1"/>
  <c r="V17" i="6"/>
  <c r="U17" i="6" s="1"/>
  <c r="Y17" i="6" s="1"/>
  <c r="Z17" i="6" s="1"/>
  <c r="G16" i="6"/>
  <c r="G35" i="31"/>
  <c r="AO16" i="6"/>
  <c r="AF22" i="6" l="1"/>
  <c r="AG22" i="6" s="1"/>
  <c r="AF23" i="6" s="1"/>
  <c r="AG23" i="6" s="1"/>
  <c r="AH21" i="6"/>
  <c r="AL21" i="6" s="1"/>
  <c r="AM21" i="6" s="1"/>
  <c r="V18" i="6"/>
  <c r="U18" i="6" s="1"/>
  <c r="Y18" i="6" s="1"/>
  <c r="Z18" i="6" s="1"/>
  <c r="S19" i="6"/>
  <c r="T19" i="6" s="1"/>
  <c r="F17" i="6"/>
  <c r="I16" i="6"/>
  <c r="H16" i="6" s="1"/>
  <c r="L16" i="6" s="1"/>
  <c r="M16" i="6" s="1"/>
  <c r="AP16" i="6"/>
  <c r="AI22" i="6" l="1"/>
  <c r="AH22" i="6" s="1"/>
  <c r="AL22" i="6" s="1"/>
  <c r="AM22" i="6" s="1"/>
  <c r="AF24" i="6"/>
  <c r="AG24" i="6" s="1"/>
  <c r="AI23" i="6"/>
  <c r="AH23" i="6" s="1"/>
  <c r="AL23" i="6" s="1"/>
  <c r="AM23" i="6" s="1"/>
  <c r="V19" i="6"/>
  <c r="U19" i="6" s="1"/>
  <c r="Y19" i="6" s="1"/>
  <c r="Z19" i="6" s="1"/>
  <c r="S20" i="6"/>
  <c r="T20" i="6" s="1"/>
  <c r="G17" i="6"/>
  <c r="G36" i="31"/>
  <c r="AO17" i="6"/>
  <c r="AI24" i="6" l="1"/>
  <c r="AH24" i="6" s="1"/>
  <c r="AL24" i="6" s="1"/>
  <c r="AM24" i="6" s="1"/>
  <c r="AF25" i="6"/>
  <c r="AG25" i="6" s="1"/>
  <c r="S21" i="6"/>
  <c r="T21" i="6" s="1"/>
  <c r="V20" i="6"/>
  <c r="U20" i="6" s="1"/>
  <c r="Y20" i="6" s="1"/>
  <c r="Z20" i="6" s="1"/>
  <c r="I17" i="6"/>
  <c r="H17" i="6" s="1"/>
  <c r="L17" i="6" s="1"/>
  <c r="M17" i="6" s="1"/>
  <c r="F18" i="6"/>
  <c r="AO18" i="6" s="1"/>
  <c r="AP17" i="6"/>
  <c r="AF26" i="6" l="1"/>
  <c r="AG26" i="6" s="1"/>
  <c r="AI25" i="6"/>
  <c r="AH25" i="6" s="1"/>
  <c r="AL25" i="6" s="1"/>
  <c r="AM25" i="6" s="1"/>
  <c r="S22" i="6"/>
  <c r="T22" i="6" s="1"/>
  <c r="V21" i="6"/>
  <c r="U21" i="6" s="1"/>
  <c r="Y21" i="6" s="1"/>
  <c r="Z21" i="6" s="1"/>
  <c r="G18" i="6"/>
  <c r="AI26" i="6" l="1"/>
  <c r="AH26" i="6" s="1"/>
  <c r="AL26" i="6" s="1"/>
  <c r="AM26" i="6" s="1"/>
  <c r="AF27" i="6"/>
  <c r="AG27" i="6" s="1"/>
  <c r="V22" i="6"/>
  <c r="U22" i="6" s="1"/>
  <c r="Y22" i="6" s="1"/>
  <c r="Z22" i="6" s="1"/>
  <c r="S23" i="6"/>
  <c r="T23" i="6" s="1"/>
  <c r="F19" i="6"/>
  <c r="AO19" i="6" s="1"/>
  <c r="I18" i="6"/>
  <c r="H18" i="6" s="1"/>
  <c r="L18" i="6" s="1"/>
  <c r="M18" i="6" s="1"/>
  <c r="AP18" i="6"/>
  <c r="AI27" i="6" l="1"/>
  <c r="AH27" i="6" s="1"/>
  <c r="AL27" i="6" s="1"/>
  <c r="AM27" i="6" s="1"/>
  <c r="AF28" i="6"/>
  <c r="AG28" i="6" s="1"/>
  <c r="G19" i="6"/>
  <c r="V23" i="6"/>
  <c r="U23" i="6" s="1"/>
  <c r="Y23" i="6" s="1"/>
  <c r="Z23" i="6" s="1"/>
  <c r="S24" i="6"/>
  <c r="AI28" i="6" l="1"/>
  <c r="AH28" i="6" s="1"/>
  <c r="AL28" i="6" s="1"/>
  <c r="AM28" i="6" s="1"/>
  <c r="AF29" i="6"/>
  <c r="AG29" i="6" s="1"/>
  <c r="I19" i="6"/>
  <c r="H19" i="6" s="1"/>
  <c r="L19" i="6" s="1"/>
  <c r="M19" i="6" s="1"/>
  <c r="F20" i="6"/>
  <c r="AO20" i="6" s="1"/>
  <c r="AP19" i="6"/>
  <c r="T24" i="6"/>
  <c r="AI29" i="6" l="1"/>
  <c r="AH29" i="6" s="1"/>
  <c r="AL29" i="6" s="1"/>
  <c r="AM29" i="6" s="1"/>
  <c r="AF30" i="6"/>
  <c r="AG30" i="6" s="1"/>
  <c r="G20" i="6"/>
  <c r="F21" i="6" s="1"/>
  <c r="AO21" i="6" s="1"/>
  <c r="V24" i="6"/>
  <c r="U24" i="6" s="1"/>
  <c r="Y24" i="6" s="1"/>
  <c r="Z24" i="6" s="1"/>
  <c r="S25" i="6"/>
  <c r="AF31" i="6" l="1"/>
  <c r="AG31" i="6" s="1"/>
  <c r="AI30" i="6"/>
  <c r="AH30" i="6" s="1"/>
  <c r="AL30" i="6" s="1"/>
  <c r="AM30" i="6" s="1"/>
  <c r="AP20" i="6"/>
  <c r="I20" i="6"/>
  <c r="H20" i="6" s="1"/>
  <c r="L20" i="6" s="1"/>
  <c r="M20" i="6" s="1"/>
  <c r="G21" i="6"/>
  <c r="T25" i="6"/>
  <c r="AI31" i="6" l="1"/>
  <c r="AH31" i="6" s="1"/>
  <c r="AL31" i="6" s="1"/>
  <c r="AM31" i="6" s="1"/>
  <c r="AF32" i="6"/>
  <c r="AG32" i="6" s="1"/>
  <c r="F22" i="6"/>
  <c r="AO22" i="6" s="1"/>
  <c r="I21" i="6"/>
  <c r="H21" i="6" s="1"/>
  <c r="L21" i="6" s="1"/>
  <c r="M21" i="6" s="1"/>
  <c r="AP21" i="6"/>
  <c r="V25" i="6"/>
  <c r="U25" i="6" s="1"/>
  <c r="Y25" i="6" s="1"/>
  <c r="Z25" i="6" s="1"/>
  <c r="S26" i="6"/>
  <c r="AI32" i="6" l="1"/>
  <c r="AH32" i="6" s="1"/>
  <c r="AL32" i="6" s="1"/>
  <c r="AM32" i="6" s="1"/>
  <c r="AF33" i="6"/>
  <c r="AG33" i="6" s="1"/>
  <c r="G22" i="6"/>
  <c r="T26" i="6"/>
  <c r="S27" i="6" s="1"/>
  <c r="AI33" i="6" l="1"/>
  <c r="AH33" i="6" s="1"/>
  <c r="AL33" i="6" s="1"/>
  <c r="AM33" i="6" s="1"/>
  <c r="AF34" i="6"/>
  <c r="AG34" i="6" s="1"/>
  <c r="T27" i="6"/>
  <c r="S28" i="6" s="1"/>
  <c r="T28" i="6" s="1"/>
  <c r="F23" i="6"/>
  <c r="AO23" i="6" s="1"/>
  <c r="I22" i="6"/>
  <c r="H22" i="6" s="1"/>
  <c r="L22" i="6" s="1"/>
  <c r="M22" i="6" s="1"/>
  <c r="AP22" i="6"/>
  <c r="V26" i="6"/>
  <c r="U26" i="6" s="1"/>
  <c r="Y26" i="6" s="1"/>
  <c r="Z26" i="6" s="1"/>
  <c r="V27" i="6" l="1"/>
  <c r="U27" i="6" s="1"/>
  <c r="Y27" i="6" s="1"/>
  <c r="AI34" i="6"/>
  <c r="AH34" i="6" s="1"/>
  <c r="AL34" i="6" s="1"/>
  <c r="AM34" i="6" s="1"/>
  <c r="AF35" i="6"/>
  <c r="AG35" i="6" s="1"/>
  <c r="Z27" i="6"/>
  <c r="G23" i="6"/>
  <c r="F24" i="6" s="1"/>
  <c r="AO24" i="6" s="1"/>
  <c r="V28" i="6"/>
  <c r="U28" i="6" s="1"/>
  <c r="Y28" i="6" s="1"/>
  <c r="Z28" i="6" s="1"/>
  <c r="S29" i="6"/>
  <c r="AF36" i="6" l="1"/>
  <c r="AG36" i="6" s="1"/>
  <c r="AI35" i="6"/>
  <c r="AH35" i="6" s="1"/>
  <c r="AL35" i="6" s="1"/>
  <c r="AM35" i="6" s="1"/>
  <c r="I23" i="6"/>
  <c r="H23" i="6" s="1"/>
  <c r="L23" i="6" s="1"/>
  <c r="M23" i="6" s="1"/>
  <c r="AP23" i="6"/>
  <c r="G24" i="6"/>
  <c r="T29" i="6"/>
  <c r="AI36" i="6" l="1"/>
  <c r="AH36" i="6" s="1"/>
  <c r="AL36" i="6" s="1"/>
  <c r="AM36" i="6" s="1"/>
  <c r="AF37" i="6"/>
  <c r="AG37" i="6" s="1"/>
  <c r="F25" i="6"/>
  <c r="AO25" i="6" s="1"/>
  <c r="I24" i="6"/>
  <c r="H24" i="6" s="1"/>
  <c r="L24" i="6" s="1"/>
  <c r="M24" i="6" s="1"/>
  <c r="AP24" i="6"/>
  <c r="S30" i="6"/>
  <c r="V29" i="6"/>
  <c r="U29" i="6" s="1"/>
  <c r="Y29" i="6" s="1"/>
  <c r="Z29" i="6" s="1"/>
  <c r="AI37" i="6" l="1"/>
  <c r="AI39" i="6" s="1"/>
  <c r="G25" i="6"/>
  <c r="T30" i="6"/>
  <c r="AH37" i="6" l="1"/>
  <c r="I25" i="6"/>
  <c r="H25" i="6" s="1"/>
  <c r="L25" i="6" s="1"/>
  <c r="M25" i="6" s="1"/>
  <c r="F26" i="6"/>
  <c r="AO26" i="6" s="1"/>
  <c r="AP25" i="6"/>
  <c r="S31" i="6"/>
  <c r="V30" i="6"/>
  <c r="U30" i="6" s="1"/>
  <c r="Y30" i="6" s="1"/>
  <c r="Z30" i="6" s="1"/>
  <c r="AH39" i="6" l="1"/>
  <c r="AL37" i="6"/>
  <c r="G26" i="6"/>
  <c r="I26" i="6" s="1"/>
  <c r="H26" i="6" s="1"/>
  <c r="L26" i="6" s="1"/>
  <c r="M26" i="6" s="1"/>
  <c r="T31" i="6"/>
  <c r="AL39" i="6" l="1"/>
  <c r="AM37" i="6"/>
  <c r="Q40" i="31" s="1"/>
  <c r="F27" i="6"/>
  <c r="AO27" i="6" s="1"/>
  <c r="AP26" i="6"/>
  <c r="S32" i="6"/>
  <c r="V31" i="6"/>
  <c r="U31" i="6" s="1"/>
  <c r="Y31" i="6" s="1"/>
  <c r="Z31" i="6" s="1"/>
  <c r="G27" i="6" l="1"/>
  <c r="F28" i="6" s="1"/>
  <c r="AO28" i="6" s="1"/>
  <c r="T32" i="6"/>
  <c r="AP27" i="6" l="1"/>
  <c r="I27" i="6"/>
  <c r="H27" i="6" s="1"/>
  <c r="L27" i="6" s="1"/>
  <c r="M27" i="6" s="1"/>
  <c r="G28" i="6"/>
  <c r="S33" i="6"/>
  <c r="V32" i="6"/>
  <c r="U32" i="6" s="1"/>
  <c r="Y32" i="6" s="1"/>
  <c r="Z32" i="6" s="1"/>
  <c r="F29" i="6" l="1"/>
  <c r="AO29" i="6" s="1"/>
  <c r="I28" i="6"/>
  <c r="H28" i="6" s="1"/>
  <c r="L28" i="6" s="1"/>
  <c r="M28" i="6" s="1"/>
  <c r="AP28" i="6"/>
  <c r="T33" i="6"/>
  <c r="G29" i="6" l="1"/>
  <c r="V33" i="6"/>
  <c r="U33" i="6" s="1"/>
  <c r="Y33" i="6" s="1"/>
  <c r="Z33" i="6" s="1"/>
  <c r="S34" i="6"/>
  <c r="F30" i="6" l="1"/>
  <c r="AO30" i="6" s="1"/>
  <c r="I29" i="6"/>
  <c r="H29" i="6" s="1"/>
  <c r="L29" i="6" s="1"/>
  <c r="M29" i="6" s="1"/>
  <c r="AP29" i="6"/>
  <c r="T34" i="6"/>
  <c r="G30" i="6" l="1"/>
  <c r="S35" i="6"/>
  <c r="T35" i="6" s="1"/>
  <c r="V34" i="6"/>
  <c r="U34" i="6" s="1"/>
  <c r="Y34" i="6" s="1"/>
  <c r="Z34" i="6" s="1"/>
  <c r="I30" i="6" l="1"/>
  <c r="H30" i="6" s="1"/>
  <c r="L30" i="6" s="1"/>
  <c r="M30" i="6" s="1"/>
  <c r="F31" i="6"/>
  <c r="AO31" i="6" s="1"/>
  <c r="AP30" i="6"/>
  <c r="S36" i="6"/>
  <c r="T36" i="6" s="1"/>
  <c r="V35" i="6"/>
  <c r="U35" i="6" s="1"/>
  <c r="Y35" i="6" s="1"/>
  <c r="Z35" i="6" s="1"/>
  <c r="G31" i="6" l="1"/>
  <c r="I31" i="6" s="1"/>
  <c r="H31" i="6" s="1"/>
  <c r="L31" i="6" s="1"/>
  <c r="M31" i="6" s="1"/>
  <c r="V36" i="6"/>
  <c r="U36" i="6" s="1"/>
  <c r="Y36" i="6" s="1"/>
  <c r="Z36" i="6" s="1"/>
  <c r="S37" i="6"/>
  <c r="T37" i="6" s="1"/>
  <c r="F32" i="6" l="1"/>
  <c r="AO32" i="6" s="1"/>
  <c r="AP31" i="6"/>
  <c r="V37" i="6"/>
  <c r="V39" i="6" s="1"/>
  <c r="G32" i="6" l="1"/>
  <c r="I32" i="6" s="1"/>
  <c r="H32" i="6" s="1"/>
  <c r="L32" i="6" s="1"/>
  <c r="M32" i="6" s="1"/>
  <c r="U37" i="6"/>
  <c r="AP32" i="6" l="1"/>
  <c r="F33" i="6"/>
  <c r="AO33" i="6" s="1"/>
  <c r="U39" i="6"/>
  <c r="Y37" i="6"/>
  <c r="G33" i="6" l="1"/>
  <c r="F34" i="6" s="1"/>
  <c r="AO34" i="6" s="1"/>
  <c r="Y39" i="6"/>
  <c r="Z37" i="6"/>
  <c r="L40" i="31" s="1"/>
  <c r="I33" i="6" l="1"/>
  <c r="H33" i="6" s="1"/>
  <c r="L33" i="6" s="1"/>
  <c r="M33" i="6" s="1"/>
  <c r="G34" i="6"/>
  <c r="I34" i="6" s="1"/>
  <c r="H34" i="6" s="1"/>
  <c r="AP33" i="6"/>
  <c r="AP34" i="6" l="1"/>
  <c r="F35" i="6"/>
  <c r="AO35" i="6" s="1"/>
  <c r="L34" i="6"/>
  <c r="G35" i="6" l="1"/>
  <c r="F36" i="6" s="1"/>
  <c r="AO36" i="6" s="1"/>
  <c r="M34" i="6"/>
  <c r="G36" i="6" l="1"/>
  <c r="I36" i="6" s="1"/>
  <c r="H36" i="6" s="1"/>
  <c r="I35" i="6"/>
  <c r="H35" i="6" s="1"/>
  <c r="L35" i="6" s="1"/>
  <c r="M35" i="6" s="1"/>
  <c r="AP35" i="6"/>
  <c r="AP36" i="6" l="1"/>
  <c r="F37" i="6"/>
  <c r="AO37" i="6" s="1"/>
  <c r="L36" i="6"/>
  <c r="G37" i="6" l="1"/>
  <c r="AP37" i="6" s="1"/>
  <c r="M36" i="6"/>
  <c r="I37" i="6" l="1"/>
  <c r="I39" i="6" s="1"/>
  <c r="H37" i="6" l="1"/>
  <c r="H39" i="6" s="1"/>
  <c r="L37" i="6" l="1"/>
  <c r="L39" i="6" s="1"/>
  <c r="M37" i="6" l="1"/>
  <c r="G40" i="31" s="1"/>
  <c r="BO7" i="8"/>
  <c r="BO8" i="8" s="1"/>
  <c r="BO9" i="8" s="1"/>
  <c r="BO10" i="8" s="1"/>
  <c r="BP7" i="8"/>
  <c r="BP8" i="8" s="1"/>
  <c r="BP9" i="8" s="1"/>
  <c r="C24" i="83" l="1"/>
  <c r="BP10" i="8"/>
  <c r="H24" i="83" l="1"/>
  <c r="AB3" i="6"/>
  <c r="AB5" i="6"/>
</calcChain>
</file>

<file path=xl/comments1.xml><?xml version="1.0" encoding="utf-8"?>
<comments xmlns="http://schemas.openxmlformats.org/spreadsheetml/2006/main">
  <authors>
    <author>Robert Ward</author>
  </authors>
  <commentList>
    <comment ref="D8" authorId="0" shapeId="0">
      <text>
        <r>
          <rPr>
            <sz val="9"/>
            <color indexed="81"/>
            <rFont val="Tahoma"/>
            <family val="2"/>
          </rPr>
          <t>As advised by the client</t>
        </r>
      </text>
    </comment>
    <comment ref="K8" authorId="0" shapeId="0">
      <text>
        <r>
          <rPr>
            <sz val="9"/>
            <color indexed="81"/>
            <rFont val="Tahoma"/>
            <family val="2"/>
          </rPr>
          <t>As advised by the client</t>
        </r>
      </text>
    </comment>
    <comment ref="D32" authorId="0" shapeId="0">
      <text>
        <r>
          <rPr>
            <sz val="9"/>
            <color indexed="81"/>
            <rFont val="Tahoma"/>
            <family val="2"/>
          </rPr>
          <t xml:space="preserve">To change the ticks enter "0" or "1"
</t>
        </r>
      </text>
    </comment>
    <comment ref="K32" authorId="0" shapeId="0">
      <text>
        <r>
          <rPr>
            <sz val="9"/>
            <color indexed="81"/>
            <rFont val="Tahoma"/>
            <family val="2"/>
          </rPr>
          <t xml:space="preserve">To change the ticks enter "0" or "1"
</t>
        </r>
      </text>
    </comment>
  </commentList>
</comments>
</file>

<file path=xl/sharedStrings.xml><?xml version="1.0" encoding="utf-8"?>
<sst xmlns="http://schemas.openxmlformats.org/spreadsheetml/2006/main" count="3026" uniqueCount="1458">
  <si>
    <t>Borrower Name</t>
  </si>
  <si>
    <t>Date of Birth</t>
  </si>
  <si>
    <t>Married</t>
  </si>
  <si>
    <t>Email</t>
  </si>
  <si>
    <t>Dependents - Name</t>
  </si>
  <si>
    <t>Dependents - DOB</t>
  </si>
  <si>
    <t>Next of Kin - Name</t>
  </si>
  <si>
    <t>Relationship</t>
  </si>
  <si>
    <t>Postal Address</t>
  </si>
  <si>
    <t>Current Occupation</t>
  </si>
  <si>
    <t>Current Employer</t>
  </si>
  <si>
    <t>Current Address</t>
  </si>
  <si>
    <t>Previous Occupation</t>
  </si>
  <si>
    <t>Previous Employer</t>
  </si>
  <si>
    <t>Previous Address</t>
  </si>
  <si>
    <t>Other Income</t>
  </si>
  <si>
    <t>Other Occupation</t>
  </si>
  <si>
    <t>Other Employer</t>
  </si>
  <si>
    <t>Other Address</t>
  </si>
  <si>
    <t>Other</t>
  </si>
  <si>
    <t>Notes</t>
  </si>
  <si>
    <t>Income</t>
  </si>
  <si>
    <t>Type</t>
  </si>
  <si>
    <t>Description</t>
  </si>
  <si>
    <t>Net pm</t>
  </si>
  <si>
    <t>PAYG</t>
  </si>
  <si>
    <t>Lender</t>
  </si>
  <si>
    <t>Limit</t>
  </si>
  <si>
    <t>Balance</t>
  </si>
  <si>
    <t>Rate</t>
  </si>
  <si>
    <t>Credit Card</t>
  </si>
  <si>
    <t>Total</t>
  </si>
  <si>
    <t>Purchase Price</t>
  </si>
  <si>
    <t>State</t>
  </si>
  <si>
    <t>NSW</t>
  </si>
  <si>
    <t>Transfer</t>
  </si>
  <si>
    <t>Rego</t>
  </si>
  <si>
    <t>SDuty1</t>
  </si>
  <si>
    <t>Govt - Transfer Stamp Duty</t>
  </si>
  <si>
    <t>ACT</t>
  </si>
  <si>
    <t>Govt - Transfer Registration</t>
  </si>
  <si>
    <t>QLD</t>
  </si>
  <si>
    <t>Legal - Conveyancing</t>
  </si>
  <si>
    <t>SA</t>
  </si>
  <si>
    <t>TAS</t>
  </si>
  <si>
    <t>VIC</t>
  </si>
  <si>
    <t>Total Purchase Costs</t>
  </si>
  <si>
    <t>WA</t>
  </si>
  <si>
    <t>NT</t>
  </si>
  <si>
    <t>Loan Amount</t>
  </si>
  <si>
    <t>Deposit/Equity Required</t>
  </si>
  <si>
    <t>Indicative Interest Rate (%)</t>
  </si>
  <si>
    <t>Instalment pm – Interest Only</t>
  </si>
  <si>
    <t>Instalment pm – P&amp;I (30yrs)</t>
  </si>
  <si>
    <t>Proposed LVR</t>
  </si>
  <si>
    <t>Estimated Investment Calculation</t>
  </si>
  <si>
    <t>Proposed Yield</t>
  </si>
  <si>
    <t>Proposed Rent - pw</t>
  </si>
  <si>
    <t>LESS - Commission</t>
  </si>
  <si>
    <t>LESS - Strata Fees</t>
  </si>
  <si>
    <t>LESS - Council Rates</t>
  </si>
  <si>
    <t>LESS - Water Rates</t>
  </si>
  <si>
    <t>LESS - Maintenance</t>
  </si>
  <si>
    <t>LESS - Other</t>
  </si>
  <si>
    <t>LESS - Interest</t>
  </si>
  <si>
    <t>LESS - Bank Fees</t>
  </si>
  <si>
    <t>Assets:</t>
  </si>
  <si>
    <t>Asset</t>
  </si>
  <si>
    <t>Repayment</t>
  </si>
  <si>
    <t>pm</t>
  </si>
  <si>
    <t>Model</t>
  </si>
  <si>
    <t>Make</t>
  </si>
  <si>
    <t>Year</t>
  </si>
  <si>
    <t>Business</t>
  </si>
  <si>
    <t>Rate(Y)</t>
  </si>
  <si>
    <t>Rate (F)</t>
  </si>
  <si>
    <t>Fix</t>
  </si>
  <si>
    <t>IO</t>
  </si>
  <si>
    <t>Term</t>
  </si>
  <si>
    <t>Loan Amt</t>
  </si>
  <si>
    <t>Upfront</t>
  </si>
  <si>
    <t>pa</t>
  </si>
  <si>
    <t xml:space="preserve">LMI </t>
  </si>
  <si>
    <t>Ongoing</t>
  </si>
  <si>
    <t>Rate (V)</t>
  </si>
  <si>
    <t>Total Loan</t>
  </si>
  <si>
    <t>FIX</t>
  </si>
  <si>
    <t>Repay</t>
  </si>
  <si>
    <t>Instal pm</t>
  </si>
  <si>
    <t>Interest</t>
  </si>
  <si>
    <t>Principal</t>
  </si>
  <si>
    <t>Fees</t>
  </si>
  <si>
    <t>Clients:</t>
  </si>
  <si>
    <t>Expiry</t>
  </si>
  <si>
    <t>Defacto</t>
  </si>
  <si>
    <t>Seperated</t>
  </si>
  <si>
    <t>Divorced</t>
  </si>
  <si>
    <t>Widow</t>
  </si>
  <si>
    <t>Single</t>
  </si>
  <si>
    <t>Marital Status - List</t>
  </si>
  <si>
    <t>Name</t>
  </si>
  <si>
    <t>Age</t>
  </si>
  <si>
    <t>Years</t>
  </si>
  <si>
    <t>Months</t>
  </si>
  <si>
    <t>Calculations (not to be printed)</t>
  </si>
  <si>
    <t>Status</t>
  </si>
  <si>
    <t>Mob</t>
  </si>
  <si>
    <t>Home</t>
  </si>
  <si>
    <t>Work</t>
  </si>
  <si>
    <t>Drivers Licence</t>
  </si>
  <si>
    <t>r.ward@premiumbroker.com.au</t>
  </si>
  <si>
    <t>O/Seas</t>
  </si>
  <si>
    <t>Own</t>
  </si>
  <si>
    <t>Board</t>
  </si>
  <si>
    <t>Parents</t>
  </si>
  <si>
    <t>Mortgaged</t>
  </si>
  <si>
    <t>Renting</t>
  </si>
  <si>
    <t>Moved In / Status</t>
  </si>
  <si>
    <t>Current</t>
  </si>
  <si>
    <t>Previous</t>
  </si>
  <si>
    <t>Borrower 2</t>
  </si>
  <si>
    <t>Title List</t>
  </si>
  <si>
    <t>Mr</t>
  </si>
  <si>
    <t>Mrs</t>
  </si>
  <si>
    <t>Ms</t>
  </si>
  <si>
    <t>Miss</t>
  </si>
  <si>
    <t>Dr</t>
  </si>
  <si>
    <t>Sex</t>
  </si>
  <si>
    <t>Sex - List</t>
  </si>
  <si>
    <t>Male</t>
  </si>
  <si>
    <t>Female</t>
  </si>
  <si>
    <t xml:space="preserve">Title </t>
  </si>
  <si>
    <t>Previous 1</t>
  </si>
  <si>
    <t>Address 1</t>
  </si>
  <si>
    <t>Address 2</t>
  </si>
  <si>
    <t>Postal 1</t>
  </si>
  <si>
    <t>Postal 2</t>
  </si>
  <si>
    <t>Salutation</t>
  </si>
  <si>
    <t>Salutation F</t>
  </si>
  <si>
    <t>Current Website</t>
  </si>
  <si>
    <t>Work Time</t>
  </si>
  <si>
    <t>PayCycle - List</t>
  </si>
  <si>
    <t>Current Start Date</t>
  </si>
  <si>
    <t>Pay Type</t>
  </si>
  <si>
    <t>Full Time</t>
  </si>
  <si>
    <t>Part Time</t>
  </si>
  <si>
    <t>Contractor</t>
  </si>
  <si>
    <t>Casual</t>
  </si>
  <si>
    <t>Previous Website</t>
  </si>
  <si>
    <t>Previous Start Date</t>
  </si>
  <si>
    <t>End</t>
  </si>
  <si>
    <t>Length</t>
  </si>
  <si>
    <t>Other Website</t>
  </si>
  <si>
    <t>Other Start Date</t>
  </si>
  <si>
    <t>Service</t>
  </si>
  <si>
    <t>Assets &amp; Liabilities</t>
  </si>
  <si>
    <t>Liabilities</t>
  </si>
  <si>
    <t>Int Only</t>
  </si>
  <si>
    <t>30yr P&amp;I</t>
  </si>
  <si>
    <t>25yr P&amp;I</t>
  </si>
  <si>
    <t xml:space="preserve">Net Assets </t>
  </si>
  <si>
    <t>Total Limits</t>
  </si>
  <si>
    <t>Total Debts</t>
  </si>
  <si>
    <t>Total Repaymnt</t>
  </si>
  <si>
    <t>7yr P&amp;I</t>
  </si>
  <si>
    <t>5yr P&amp;I</t>
  </si>
  <si>
    <t>P&amp;I</t>
  </si>
  <si>
    <t>Yrs</t>
  </si>
  <si>
    <t>Balloon</t>
  </si>
  <si>
    <t>CHP</t>
  </si>
  <si>
    <t>= Number of Dependents</t>
  </si>
  <si>
    <t>Dependent 1</t>
  </si>
  <si>
    <t>Dependent 2</t>
  </si>
  <si>
    <t>Dependent 3</t>
  </si>
  <si>
    <t>Dependent 4</t>
  </si>
  <si>
    <t>Dependent 5</t>
  </si>
  <si>
    <t>Dependent 6</t>
  </si>
  <si>
    <t>Date</t>
  </si>
  <si>
    <t>Robert Ward</t>
  </si>
  <si>
    <t>Entity Name</t>
  </si>
  <si>
    <t>ABN:</t>
  </si>
  <si>
    <t>Nature of Business</t>
  </si>
  <si>
    <t>Sales</t>
  </si>
  <si>
    <t>Less: COGS</t>
  </si>
  <si>
    <t>Gross Profit</t>
  </si>
  <si>
    <t>Operating Expenses</t>
  </si>
  <si>
    <t>Net Profit Before Tax</t>
  </si>
  <si>
    <t>Addback - Interest</t>
  </si>
  <si>
    <t>Addback - Depreciation</t>
  </si>
  <si>
    <t>Addback – Directors Fee</t>
  </si>
  <si>
    <t>Addback – One Off Expense</t>
  </si>
  <si>
    <t>Addback - Other</t>
  </si>
  <si>
    <t>Accounting Firm</t>
  </si>
  <si>
    <t>Address</t>
  </si>
  <si>
    <t>Contacts</t>
  </si>
  <si>
    <t>Mb:</t>
  </si>
  <si>
    <t>Ph:</t>
  </si>
  <si>
    <t>Fx:</t>
  </si>
  <si>
    <t>Value</t>
  </si>
  <si>
    <t>Val/Est</t>
  </si>
  <si>
    <t>Bed</t>
  </si>
  <si>
    <t>Car</t>
  </si>
  <si>
    <t>Refinance - Mortgage</t>
  </si>
  <si>
    <t>Savings</t>
  </si>
  <si>
    <t>Consolidation</t>
  </si>
  <si>
    <t>Construction</t>
  </si>
  <si>
    <t>Cash Out / Investment</t>
  </si>
  <si>
    <t>Lenders - Upfront Fees</t>
  </si>
  <si>
    <t>Lenders - Valuation</t>
  </si>
  <si>
    <t>Lenders - Legal</t>
  </si>
  <si>
    <t>Bth</t>
  </si>
  <si>
    <t>Title</t>
  </si>
  <si>
    <t>LMI Premium</t>
  </si>
  <si>
    <t>Govt - Rego of Mortgage</t>
  </si>
  <si>
    <t>TOTAL PURCHASE COSTS</t>
  </si>
  <si>
    <t>Phone</t>
  </si>
  <si>
    <t>Website</t>
  </si>
  <si>
    <t>TOTAL AVAILABLE</t>
  </si>
  <si>
    <t>SDuty2</t>
  </si>
  <si>
    <t>SDuty3</t>
  </si>
  <si>
    <t>SDuty4</t>
  </si>
  <si>
    <t>SDuty5</t>
  </si>
  <si>
    <t>SDuty6</t>
  </si>
  <si>
    <t>Check</t>
  </si>
  <si>
    <t>Increase</t>
  </si>
  <si>
    <t>PAID - Deposit</t>
  </si>
  <si>
    <t>PAID - Stamp Duty</t>
  </si>
  <si>
    <t>Govt Grants</t>
  </si>
  <si>
    <t>Shares/Investments</t>
  </si>
  <si>
    <t>Notes on Source of Funds</t>
  </si>
  <si>
    <t>Parents Loan/Gift</t>
  </si>
  <si>
    <t>Loan - Equity/Other</t>
  </si>
  <si>
    <t>Totals</t>
  </si>
  <si>
    <t>Instalment pm – Int Only</t>
  </si>
  <si>
    <t>Short Name</t>
  </si>
  <si>
    <t>Weekly</t>
  </si>
  <si>
    <t>Tax</t>
  </si>
  <si>
    <t>Medicare</t>
  </si>
  <si>
    <t>Total Tax</t>
  </si>
  <si>
    <t>TAX TABLE</t>
  </si>
  <si>
    <t>Bracket</t>
  </si>
  <si>
    <t>BASE</t>
  </si>
  <si>
    <t>Current %</t>
  </si>
  <si>
    <t>Add 0.5%</t>
  </si>
  <si>
    <t>Reduce 0.5%</t>
  </si>
  <si>
    <t>Changes to the Rate</t>
  </si>
  <si>
    <t>S/Emp</t>
  </si>
  <si>
    <t>Living Expenses</t>
  </si>
  <si>
    <t>Adults</t>
  </si>
  <si>
    <t>Kids</t>
  </si>
  <si>
    <t xml:space="preserve"> </t>
  </si>
  <si>
    <t>Registered Owners</t>
  </si>
  <si>
    <t>Own%</t>
  </si>
  <si>
    <t>P/Price</t>
  </si>
  <si>
    <t>Val Type</t>
  </si>
  <si>
    <t>Bank Val</t>
  </si>
  <si>
    <t>Cust Est</t>
  </si>
  <si>
    <t>RP Data</t>
  </si>
  <si>
    <t>RE Assess</t>
  </si>
  <si>
    <t>Property Type</t>
  </si>
  <si>
    <t>Residential</t>
  </si>
  <si>
    <t>Rural Residential</t>
  </si>
  <si>
    <t>Rural</t>
  </si>
  <si>
    <t>Commercial</t>
  </si>
  <si>
    <t>Industrial</t>
  </si>
  <si>
    <t>Vacant Land</t>
  </si>
  <si>
    <t>Total Loan Amount</t>
  </si>
  <si>
    <t>Broker</t>
  </si>
  <si>
    <t>02 9411 5322</t>
  </si>
  <si>
    <t>Level 10, 1-5 Railway St, Chatswood NSW 2067</t>
  </si>
  <si>
    <t>Includes proposed Stamp Duty, Government Charges, Legal Fees, Estimated LMI &amp; Funds to Complete</t>
  </si>
  <si>
    <t>Applicant 1</t>
  </si>
  <si>
    <t>Applicant 2</t>
  </si>
  <si>
    <t>Moved In / Out</t>
  </si>
  <si>
    <t>years</t>
  </si>
  <si>
    <t>Paid over</t>
  </si>
  <si>
    <t>Midpoint</t>
  </si>
  <si>
    <t>STATE</t>
  </si>
  <si>
    <t>Salutation Full</t>
  </si>
  <si>
    <t>Joint Borrowers</t>
  </si>
  <si>
    <t>Single Applicant</t>
  </si>
  <si>
    <t>Actual</t>
  </si>
  <si>
    <t>Macquarie Bank</t>
  </si>
  <si>
    <t>AMP</t>
  </si>
  <si>
    <t>Interest Only (years)</t>
  </si>
  <si>
    <t>Upfront Fees</t>
  </si>
  <si>
    <t>Ongoing Fees</t>
  </si>
  <si>
    <t>Property Address</t>
  </si>
  <si>
    <t xml:space="preserve">Credit Card </t>
  </si>
  <si>
    <t>NA</t>
  </si>
  <si>
    <t>Indicative Rate</t>
  </si>
  <si>
    <t>Indicative Term</t>
  </si>
  <si>
    <t>yrs</t>
  </si>
  <si>
    <t>Govt</t>
  </si>
  <si>
    <t xml:space="preserve">Employment </t>
  </si>
  <si>
    <t>Purchase</t>
  </si>
  <si>
    <t>Credit History:</t>
  </si>
  <si>
    <t>Are you having difficulty meeting your financial commitments?</t>
  </si>
  <si>
    <t>Are any existing debts currently in arrears?</t>
  </si>
  <si>
    <t>Do you want a Credit Report?</t>
  </si>
  <si>
    <t>Changes to your circumstances:</t>
  </si>
  <si>
    <t>Does the borrower anticipate any change to their income over the next 12 months?</t>
  </si>
  <si>
    <t>Does the borrower anticipate any change in expenditure over the next 12 months?</t>
  </si>
  <si>
    <t>Are there any geographical factors that may contribute to higher living expenses?</t>
  </si>
  <si>
    <t>If YES please advise</t>
  </si>
  <si>
    <t>Does the borrower have existing HECS/HELP Debt?</t>
  </si>
  <si>
    <t>CBA</t>
  </si>
  <si>
    <t>ANZ</t>
  </si>
  <si>
    <t>BWT</t>
  </si>
  <si>
    <t>ANZ Bank</t>
  </si>
  <si>
    <t>Commonwealth Bank</t>
  </si>
  <si>
    <t>BankWest</t>
  </si>
  <si>
    <t>ING</t>
  </si>
  <si>
    <t>SUN</t>
  </si>
  <si>
    <t>WBC</t>
  </si>
  <si>
    <t>Westpac</t>
  </si>
  <si>
    <t>AMP Banking</t>
  </si>
  <si>
    <t>AMX</t>
  </si>
  <si>
    <t>Amex</t>
  </si>
  <si>
    <t>VRG</t>
  </si>
  <si>
    <t>NAB</t>
  </si>
  <si>
    <t>National Australia Bank</t>
  </si>
  <si>
    <t>HSL</t>
  </si>
  <si>
    <t>Homeside/NAB</t>
  </si>
  <si>
    <t>THK</t>
  </si>
  <si>
    <t>ThinkTank</t>
  </si>
  <si>
    <t>Lender Name</t>
  </si>
  <si>
    <t>ESA</t>
  </si>
  <si>
    <t>Esanda Finance</t>
  </si>
  <si>
    <t>CAP</t>
  </si>
  <si>
    <t>Capital Finance</t>
  </si>
  <si>
    <t>AFM</t>
  </si>
  <si>
    <t>BAR</t>
  </si>
  <si>
    <t>Barnes Home Loans</t>
  </si>
  <si>
    <t>Aust Finance Management</t>
  </si>
  <si>
    <t>Adelaide Bank</t>
  </si>
  <si>
    <t>ADL</t>
  </si>
  <si>
    <t>CIT</t>
  </si>
  <si>
    <t>Citibank</t>
  </si>
  <si>
    <t>MCQ</t>
  </si>
  <si>
    <t>MEB</t>
  </si>
  <si>
    <t>ME Bank</t>
  </si>
  <si>
    <t>OTH</t>
  </si>
  <si>
    <t>Other Lender</t>
  </si>
  <si>
    <t>PEP</t>
  </si>
  <si>
    <t>St George Bank</t>
  </si>
  <si>
    <t>STG</t>
  </si>
  <si>
    <t>CUA</t>
  </si>
  <si>
    <t>Credit Union Australia</t>
  </si>
  <si>
    <t>MKM</t>
  </si>
  <si>
    <t>MKM Capital</t>
  </si>
  <si>
    <t>RAM</t>
  </si>
  <si>
    <t>RAMS Home Loans</t>
  </si>
  <si>
    <t>States</t>
  </si>
  <si>
    <t>Refinance - List of Potential Benefits</t>
  </si>
  <si>
    <t>Greater loan flexibility</t>
  </si>
  <si>
    <t>Greater loan features - ie offset/redraw</t>
  </si>
  <si>
    <t>Cheaper Loan - Potential savings in fees</t>
  </si>
  <si>
    <t>Cheaper Loan - Potential interest savings</t>
  </si>
  <si>
    <t>Preferred Lender</t>
  </si>
  <si>
    <t>Suncorp</t>
  </si>
  <si>
    <t>Monthly</t>
  </si>
  <si>
    <t>Annual</t>
  </si>
  <si>
    <t>(OO)</t>
  </si>
  <si>
    <t>Loan Type</t>
  </si>
  <si>
    <t>(Invest)</t>
  </si>
  <si>
    <t>Average</t>
  </si>
  <si>
    <t>TOTAL SERVICING</t>
  </si>
  <si>
    <t>ABN</t>
  </si>
  <si>
    <t>Entity Type</t>
  </si>
  <si>
    <t>Trust - SMSF</t>
  </si>
  <si>
    <t>Trust - Family</t>
  </si>
  <si>
    <t>Trust - Unit</t>
  </si>
  <si>
    <t>Trust - Hybrid</t>
  </si>
  <si>
    <t>Company P/L</t>
  </si>
  <si>
    <t>Partnership</t>
  </si>
  <si>
    <t>Sole Trader</t>
  </si>
  <si>
    <t>Notes:</t>
  </si>
  <si>
    <t>Avg pa</t>
  </si>
  <si>
    <t>Web:</t>
  </si>
  <si>
    <t>www.</t>
  </si>
  <si>
    <t>Variable</t>
  </si>
  <si>
    <t>Fixed</t>
  </si>
  <si>
    <t>Line of Credit</t>
  </si>
  <si>
    <t>Loan Rate Type</t>
  </si>
  <si>
    <t>Renovations</t>
  </si>
  <si>
    <t>Cash Out</t>
  </si>
  <si>
    <t>Shares / Invest</t>
  </si>
  <si>
    <t>Refinance</t>
  </si>
  <si>
    <t>Personal</t>
  </si>
  <si>
    <t>Invest</t>
  </si>
  <si>
    <t>General Purpose:</t>
  </si>
  <si>
    <t>Features:</t>
  </si>
  <si>
    <t>Variable Rate</t>
  </si>
  <si>
    <t>Fixed Rate</t>
  </si>
  <si>
    <t>Split Rate</t>
  </si>
  <si>
    <t>Interest only</t>
  </si>
  <si>
    <t>Basic Rate</t>
  </si>
  <si>
    <t>Low interest rate</t>
  </si>
  <si>
    <t>Low fees &amp; charges</t>
  </si>
  <si>
    <t>Avoid/Reduce LMI</t>
  </si>
  <si>
    <t>Offset Account</t>
  </si>
  <si>
    <t>Redraw</t>
  </si>
  <si>
    <t>Professional Pack</t>
  </si>
  <si>
    <t>Credit card</t>
  </si>
  <si>
    <t>Branch Availability</t>
  </si>
  <si>
    <t>Mother MaidenName</t>
  </si>
  <si>
    <t>If unsure please indicate in the comments field and we will provide further information.</t>
  </si>
  <si>
    <t>Please be aware that not all features may be available on the credit facility that is ultimately chosen.</t>
  </si>
  <si>
    <t>Date Calculator</t>
  </si>
  <si>
    <t>Today</t>
  </si>
  <si>
    <t>Settlement</t>
  </si>
  <si>
    <t>days</t>
  </si>
  <si>
    <t>A quick tool to see what features are important to you. This will help us with our recommendations to you.</t>
  </si>
  <si>
    <t>Purchase Budget Table (LVR)</t>
  </si>
  <si>
    <t>Purchase Budget Table (Deposit)</t>
  </si>
  <si>
    <t>Brokers Details</t>
  </si>
  <si>
    <t>ACL</t>
  </si>
  <si>
    <t>Mb</t>
  </si>
  <si>
    <t>0417 448 691</t>
  </si>
  <si>
    <t>What will this cost?</t>
  </si>
  <si>
    <t>Loan Amount - Purchase</t>
  </si>
  <si>
    <t>Loan Amount - Loan</t>
  </si>
  <si>
    <t>Actual Amt</t>
  </si>
  <si>
    <t>CARE - Loan Amounts differ</t>
  </si>
  <si>
    <t>Trail1</t>
  </si>
  <si>
    <t>Trail2</t>
  </si>
  <si>
    <t>Lender Code</t>
  </si>
  <si>
    <t>Loan Splits</t>
  </si>
  <si>
    <t>Application Type</t>
  </si>
  <si>
    <t>Personal Borrower</t>
  </si>
  <si>
    <t>Company Borrower</t>
  </si>
  <si>
    <t>Trust Borrower</t>
  </si>
  <si>
    <t>SMSF Borrower</t>
  </si>
  <si>
    <t>Premium Broker - Hints and Tips</t>
  </si>
  <si>
    <t>Use these field to quickly calculate or check repayments</t>
  </si>
  <si>
    <t>Use this tool to:</t>
  </si>
  <si>
    <t>1. Record the clients preferences</t>
  </si>
  <si>
    <t xml:space="preserve">2. Record the Loan purpose and </t>
  </si>
  <si>
    <t>(Business)</t>
  </si>
  <si>
    <t>Investment</t>
  </si>
  <si>
    <t>ABN Lookup Website</t>
  </si>
  <si>
    <t>Requirements</t>
  </si>
  <si>
    <t>If you would like to proceed below is a list of what we would normally require.</t>
  </si>
  <si>
    <t>1 =</t>
  </si>
  <si>
    <t>0 =</t>
  </si>
  <si>
    <t>Received</t>
  </si>
  <si>
    <t>PAYLIP NAME</t>
  </si>
  <si>
    <t>Start Date</t>
  </si>
  <si>
    <t>YTD Start</t>
  </si>
  <si>
    <t>End Date</t>
  </si>
  <si>
    <t>YTD End</t>
  </si>
  <si>
    <t>Known Period</t>
  </si>
  <si>
    <t>Actual Annual Income &amp; Estimated Tax</t>
  </si>
  <si>
    <t>Estimate</t>
  </si>
  <si>
    <t xml:space="preserve">This Pay </t>
  </si>
  <si>
    <t>YTD</t>
  </si>
  <si>
    <t>Diff</t>
  </si>
  <si>
    <t>INCOME - Gross</t>
  </si>
  <si>
    <t>INCOME - Taxable</t>
  </si>
  <si>
    <t>Days</t>
  </si>
  <si>
    <t>TAX PAID</t>
  </si>
  <si>
    <t>NET PAY</t>
  </si>
  <si>
    <t>Mutiplier</t>
  </si>
  <si>
    <t>Deductions</t>
  </si>
  <si>
    <t>Fortnightly</t>
  </si>
  <si>
    <t>Net Pay Into Bank</t>
  </si>
  <si>
    <t>4 Weekly</t>
  </si>
  <si>
    <t>Super</t>
  </si>
  <si>
    <t>Complete these Fields</t>
  </si>
  <si>
    <t>from clients payslip</t>
  </si>
  <si>
    <t>SUMMARY</t>
  </si>
  <si>
    <t>Income Information</t>
  </si>
  <si>
    <t>Gross Income</t>
  </si>
  <si>
    <t>Clients Told Us</t>
  </si>
  <si>
    <t>This Payslip</t>
  </si>
  <si>
    <t>accurate</t>
  </si>
  <si>
    <t>ADOPTED INCOME</t>
  </si>
  <si>
    <t>Summary Notes</t>
  </si>
  <si>
    <t>as client has not worked the full YTD</t>
  </si>
  <si>
    <t>inaccurate</t>
  </si>
  <si>
    <t>as client received a payrise</t>
  </si>
  <si>
    <t>slightly high</t>
  </si>
  <si>
    <t>as the client is now working part time</t>
  </si>
  <si>
    <t>slightly low</t>
  </si>
  <si>
    <t>as the client is now working full time</t>
  </si>
  <si>
    <t>as the client works overtime</t>
  </si>
  <si>
    <t>as the client receives commission</t>
  </si>
  <si>
    <t>as the client works shifts</t>
  </si>
  <si>
    <t>Default</t>
  </si>
  <si>
    <t>Residency</t>
  </si>
  <si>
    <t>Trail3</t>
  </si>
  <si>
    <t>Trail4</t>
  </si>
  <si>
    <t>Trail5</t>
  </si>
  <si>
    <t>Cumulative</t>
  </si>
  <si>
    <t>Fixed Term</t>
  </si>
  <si>
    <t>P&amp;I or Int Only</t>
  </si>
  <si>
    <t>Total Term (years)</t>
  </si>
  <si>
    <t>SVR</t>
  </si>
  <si>
    <t>Discount to SVR</t>
  </si>
  <si>
    <t>Discount</t>
  </si>
  <si>
    <t>Age Calculator - Applicants</t>
  </si>
  <si>
    <t>Age Calculator - Dependents</t>
  </si>
  <si>
    <t>Length of Residence Calc</t>
  </si>
  <si>
    <t>Security Address</t>
  </si>
  <si>
    <t>Lot/DP</t>
  </si>
  <si>
    <t>HSB</t>
  </si>
  <si>
    <t>HSBC Bank</t>
  </si>
  <si>
    <t>Version</t>
  </si>
  <si>
    <t>Surnames</t>
  </si>
  <si>
    <t>First &amp; Last</t>
  </si>
  <si>
    <t>Fix1</t>
  </si>
  <si>
    <t>Fix2</t>
  </si>
  <si>
    <t>Fix3</t>
  </si>
  <si>
    <t>Fix4</t>
  </si>
  <si>
    <t>Fix5</t>
  </si>
  <si>
    <t>Updated</t>
  </si>
  <si>
    <t>Basic</t>
  </si>
  <si>
    <t>LOC</t>
  </si>
  <si>
    <t>SMSF</t>
  </si>
  <si>
    <t>Loan 1</t>
  </si>
  <si>
    <t>Loan 2</t>
  </si>
  <si>
    <t>Loan 3</t>
  </si>
  <si>
    <t>Rate - Fixed</t>
  </si>
  <si>
    <t>Rate - Variable</t>
  </si>
  <si>
    <t>Instalments - Year 1</t>
  </si>
  <si>
    <t>Instalments - Year 2</t>
  </si>
  <si>
    <t>Instalments - Year 3</t>
  </si>
  <si>
    <t>Instalments - Year 4</t>
  </si>
  <si>
    <t>Instalments - Year 5</t>
  </si>
  <si>
    <t>Instalments - Year 6</t>
  </si>
  <si>
    <t>Loan Comparison</t>
  </si>
  <si>
    <t>Loan Stages</t>
  </si>
  <si>
    <t>Compare / Split</t>
  </si>
  <si>
    <t>Car Finance</t>
  </si>
  <si>
    <t>Other Loans</t>
  </si>
  <si>
    <t>Net</t>
  </si>
  <si>
    <t>Proposed Weekly Rent</t>
  </si>
  <si>
    <t>Total Expenses</t>
  </si>
  <si>
    <t>Total Finance Costs</t>
  </si>
  <si>
    <t>LESS - Capital Allowance</t>
  </si>
  <si>
    <t>LESS - Depreciation</t>
  </si>
  <si>
    <t>LESS - Capital Works (Write Off)</t>
  </si>
  <si>
    <t>Total Capital Costs</t>
  </si>
  <si>
    <t>Net Income</t>
  </si>
  <si>
    <t>Max Instal</t>
  </si>
  <si>
    <t>Max Loan</t>
  </si>
  <si>
    <t>Proposed Loan</t>
  </si>
  <si>
    <t>Vow Legal</t>
  </si>
  <si>
    <t>Yes/No</t>
  </si>
  <si>
    <t>Yes</t>
  </si>
  <si>
    <t>No</t>
  </si>
  <si>
    <t>Existing Property</t>
  </si>
  <si>
    <t>Proposed Property</t>
  </si>
  <si>
    <t>Total Cost over Term</t>
  </si>
  <si>
    <t>Purchase Budget Table (P/Price)</t>
  </si>
  <si>
    <t>LMI Premium Estimate</t>
  </si>
  <si>
    <t>VOW</t>
  </si>
  <si>
    <t>Vow Products</t>
  </si>
  <si>
    <t>Personal-Purchase</t>
  </si>
  <si>
    <t>Personal-Refinance</t>
  </si>
  <si>
    <t>Personal-Construction</t>
  </si>
  <si>
    <t>Invest-Purchase</t>
  </si>
  <si>
    <t>Invest-Refinance</t>
  </si>
  <si>
    <t>Invest-Construction</t>
  </si>
  <si>
    <t>Variable or Fixed</t>
  </si>
  <si>
    <t>Instalments - Year 7</t>
  </si>
  <si>
    <t>Instalments - Year 8</t>
  </si>
  <si>
    <t>Instalments - Year 9</t>
  </si>
  <si>
    <t>Instalments - Year 10</t>
  </si>
  <si>
    <t>Loan Purpose</t>
  </si>
  <si>
    <t>Personal-Cash Out</t>
  </si>
  <si>
    <t>Invest - Other</t>
  </si>
  <si>
    <t>Current Income</t>
  </si>
  <si>
    <t>Per Annum</t>
  </si>
  <si>
    <t>Per Month</t>
  </si>
  <si>
    <t>Per F/night</t>
  </si>
  <si>
    <t>Per Week</t>
  </si>
  <si>
    <t>Per Day</t>
  </si>
  <si>
    <t>Per Hour</t>
  </si>
  <si>
    <t>Per 4 Week</t>
  </si>
  <si>
    <t>*Gross Income Less Super</t>
  </si>
  <si>
    <t>Loan Split $</t>
  </si>
  <si>
    <t>SALE Proceeds</t>
  </si>
  <si>
    <t>BROKER &amp; ADMIN USE ONLY</t>
  </si>
  <si>
    <t>Email - Work</t>
  </si>
  <si>
    <t>Email - Home</t>
  </si>
  <si>
    <t>Smoker</t>
  </si>
  <si>
    <t>Smoker:</t>
  </si>
  <si>
    <t>Loan Protection</t>
  </si>
  <si>
    <t>Total + Protection</t>
  </si>
  <si>
    <t>Name:</t>
  </si>
  <si>
    <t>Age:</t>
  </si>
  <si>
    <t>ALI Premium</t>
  </si>
  <si>
    <r>
      <rPr>
        <sz val="26"/>
        <color rgb="FF0053A1"/>
        <rFont val="Lucida Sans Unicode"/>
        <family val="2"/>
      </rPr>
      <t>Premiums</t>
    </r>
  </si>
  <si>
    <r>
      <rPr>
        <sz val="10"/>
        <rFont val="Lucida Sans Unicode"/>
        <family val="2"/>
      </rPr>
      <t>To calculate your monthly premium at the start of your cover, multiply the premium rate applicable to you by each $100,000</t>
    </r>
  </si>
  <si>
    <r>
      <rPr>
        <sz val="10"/>
        <rFont val="Lucida Sans Unicode"/>
        <family val="2"/>
      </rPr>
      <t>of the death benefit. Then add the policy fee (see below).</t>
    </r>
  </si>
  <si>
    <r>
      <rPr>
        <b/>
        <sz val="11"/>
        <color rgb="FFFFFFFF"/>
        <rFont val="Calibri"/>
        <family val="2"/>
      </rPr>
      <t>Current age</t>
    </r>
  </si>
  <si>
    <t>Non Smoker</t>
  </si>
  <si>
    <t>Monthly premium rates per $100,000 Death Benefit and $30,000 Living Benefit</t>
  </si>
  <si>
    <t>Cover</t>
  </si>
  <si>
    <t>Sex:</t>
  </si>
  <si>
    <t>ALI Premium - Non Smoker</t>
  </si>
  <si>
    <t>ALI Rate - Non Smoker</t>
  </si>
  <si>
    <t>WA Transfer</t>
  </si>
  <si>
    <t>WA Fee</t>
  </si>
  <si>
    <t>Vic Fee</t>
  </si>
  <si>
    <t>State/Purpose</t>
  </si>
  <si>
    <t>Live In</t>
  </si>
  <si>
    <t>state</t>
  </si>
  <si>
    <t>Standard</t>
  </si>
  <si>
    <t>LiveIn</t>
  </si>
  <si>
    <t>First HO</t>
  </si>
  <si>
    <t>Govt - Stamp Duty</t>
  </si>
  <si>
    <t>Govt - Transfer Fee</t>
  </si>
  <si>
    <t>Govt - Registration Fee</t>
  </si>
  <si>
    <t>Base Loan Amount</t>
  </si>
  <si>
    <t>Int Only Term</t>
  </si>
  <si>
    <t>Varies</t>
  </si>
  <si>
    <t>Estimated Value</t>
  </si>
  <si>
    <t>Purchase / Refinance</t>
  </si>
  <si>
    <t>FirstHome</t>
  </si>
  <si>
    <t>Rental Expense</t>
  </si>
  <si>
    <t>2. Security / Equity</t>
  </si>
  <si>
    <t>3. Servicing</t>
  </si>
  <si>
    <t>If you require more than 80% you can:</t>
  </si>
  <si>
    <t>Product</t>
  </si>
  <si>
    <t>Max LVR</t>
  </si>
  <si>
    <t>Purchase Budget Table (Loan)</t>
  </si>
  <si>
    <t>Personal Home Loans</t>
  </si>
  <si>
    <t>Investment Home Loans</t>
  </si>
  <si>
    <t>Rent pw</t>
  </si>
  <si>
    <t>� SMSF – Are you aware that you may be able to buy an Investent Property in your SMSF ?</t>
  </si>
  <si>
    <t>Total Asset</t>
  </si>
  <si>
    <t>=Net Assets</t>
  </si>
  <si>
    <t>TAX TABLE 2014/15</t>
  </si>
  <si>
    <t>Threshold</t>
  </si>
  <si>
    <t>Carry</t>
  </si>
  <si>
    <t>Items to do</t>
  </si>
  <si>
    <t xml:space="preserve">Loan 1 </t>
  </si>
  <si>
    <t>Loan Recommendation</t>
  </si>
  <si>
    <t>More Information</t>
  </si>
  <si>
    <t>Pre-Approval</t>
  </si>
  <si>
    <t>Contact Accountant</t>
  </si>
  <si>
    <t>Rent</t>
  </si>
  <si>
    <t>REFERRALS</t>
  </si>
  <si>
    <t>Vow Leasing</t>
  </si>
  <si>
    <t>Loan + LMI</t>
  </si>
  <si>
    <t>TOTAL AVAIL</t>
  </si>
  <si>
    <t>Instal P&amp;I</t>
  </si>
  <si>
    <t>Instal IO</t>
  </si>
  <si>
    <t>Base LVR</t>
  </si>
  <si>
    <t>LMI LVR</t>
  </si>
  <si>
    <t>Taxable Income (Gearing)</t>
  </si>
  <si>
    <t>Investment Property - Cost</t>
  </si>
  <si>
    <t>Investment Property - Tax</t>
  </si>
  <si>
    <t>Property Value</t>
  </si>
  <si>
    <t>Investment Property:</t>
  </si>
  <si>
    <t>Proposed Net Income</t>
  </si>
  <si>
    <t>Proposed Gross Income</t>
  </si>
  <si>
    <t>Applicant 1 - Taxable Income</t>
  </si>
  <si>
    <t>Applicant 1 - Proposed Income</t>
  </si>
  <si>
    <t>Est</t>
  </si>
  <si>
    <t>Loan Split 1</t>
  </si>
  <si>
    <t>Loan Split 2</t>
  </si>
  <si>
    <t>Recommend Lenders</t>
  </si>
  <si>
    <t>Submit Loan</t>
  </si>
  <si>
    <t>Growth in Profit</t>
  </si>
  <si>
    <t>Growth in Service</t>
  </si>
  <si>
    <t>Application Name:</t>
  </si>
  <si>
    <t>Property Value:</t>
  </si>
  <si>
    <t>Funds Available</t>
  </si>
  <si>
    <t>TOTAL COSTS</t>
  </si>
  <si>
    <r>
      <t xml:space="preserve">Preferred </t>
    </r>
    <r>
      <rPr>
        <sz val="8"/>
        <color theme="0" tint="-0.499984740745262"/>
        <rFont val="Webdings"/>
        <family val="1"/>
        <charset val="2"/>
      </rPr>
      <t>5</t>
    </r>
  </si>
  <si>
    <r>
      <t xml:space="preserve">RealEstate </t>
    </r>
    <r>
      <rPr>
        <sz val="12"/>
        <color theme="1" tint="0.499984740745262"/>
        <rFont val="Arial"/>
        <family val="2"/>
      </rPr>
      <t>♥</t>
    </r>
  </si>
  <si>
    <r>
      <t xml:space="preserve">Vehicle 1 </t>
    </r>
    <r>
      <rPr>
        <b/>
        <sz val="14"/>
        <color theme="1" tint="0.499984740745262"/>
        <rFont val="Webdings"/>
        <family val="1"/>
        <charset val="2"/>
      </rPr>
      <t></t>
    </r>
  </si>
  <si>
    <r>
      <t xml:space="preserve">Vehicle 2 </t>
    </r>
    <r>
      <rPr>
        <b/>
        <sz val="14"/>
        <color theme="1" tint="0.499984740745262"/>
        <rFont val="Webdings"/>
        <family val="1"/>
        <charset val="2"/>
      </rPr>
      <t></t>
    </r>
  </si>
  <si>
    <r>
      <t xml:space="preserve">Vehicle 3 </t>
    </r>
    <r>
      <rPr>
        <b/>
        <sz val="14"/>
        <color theme="1" tint="0.499984740745262"/>
        <rFont val="Webdings"/>
        <family val="1"/>
        <charset val="2"/>
      </rPr>
      <t></t>
    </r>
  </si>
  <si>
    <r>
      <t>Deposit</t>
    </r>
    <r>
      <rPr>
        <b/>
        <sz val="10"/>
        <color theme="1" tint="0.499984740745262"/>
        <rFont val="Calibri"/>
        <family val="2"/>
        <scheme val="minor"/>
      </rPr>
      <t xml:space="preserve"> $</t>
    </r>
  </si>
  <si>
    <r>
      <t xml:space="preserve">Super - App 1 </t>
    </r>
    <r>
      <rPr>
        <sz val="12"/>
        <color theme="1" tint="0.499984740745262"/>
        <rFont val="Arial"/>
        <family val="2"/>
      </rPr>
      <t>♥</t>
    </r>
  </si>
  <si>
    <r>
      <t xml:space="preserve">Super - App 2 </t>
    </r>
    <r>
      <rPr>
        <sz val="12"/>
        <color theme="1" tint="0.499984740745262"/>
        <rFont val="Arial"/>
        <family val="2"/>
      </rPr>
      <t>♥</t>
    </r>
  </si>
  <si>
    <t>Profit &amp; Loss</t>
  </si>
  <si>
    <t>Total Income</t>
  </si>
  <si>
    <t>Proposed Rental</t>
  </si>
  <si>
    <t>Income:</t>
  </si>
  <si>
    <t>Purpose:</t>
  </si>
  <si>
    <t>Initial LVR:</t>
  </si>
  <si>
    <t>Loan</t>
  </si>
  <si>
    <t>Security</t>
  </si>
  <si>
    <t>Loan Amount:</t>
  </si>
  <si>
    <t>Applicants Income:</t>
  </si>
  <si>
    <t>Post Settlement Address</t>
  </si>
  <si>
    <t>Post Settlement 1</t>
  </si>
  <si>
    <t>Previous 2</t>
  </si>
  <si>
    <t>Post Settlement 2</t>
  </si>
  <si>
    <t>Aust Resident</t>
  </si>
  <si>
    <t>Identification</t>
  </si>
  <si>
    <t>Passport</t>
  </si>
  <si>
    <t>Birth Cert</t>
  </si>
  <si>
    <t>Citizen Cert</t>
  </si>
  <si>
    <t>Council Rate</t>
  </si>
  <si>
    <t>Place of Issue</t>
  </si>
  <si>
    <t>Document 1</t>
  </si>
  <si>
    <t>Document 2</t>
  </si>
  <si>
    <t>Document Type</t>
  </si>
  <si>
    <t>Document Number</t>
  </si>
  <si>
    <t>Add Document</t>
  </si>
  <si>
    <t>Cease</t>
  </si>
  <si>
    <t>Commitment</t>
  </si>
  <si>
    <t>Lenders:</t>
  </si>
  <si>
    <t>Current Lenders:</t>
  </si>
  <si>
    <t>Preferred Lender:</t>
  </si>
  <si>
    <t>Lenders to avoid:</t>
  </si>
  <si>
    <t>Document 3</t>
  </si>
  <si>
    <t>Document 4</t>
  </si>
  <si>
    <t>This document allows us to collect information about you.</t>
  </si>
  <si>
    <t>It will assist us in preparing a preliminary assessment</t>
  </si>
  <si>
    <t>and loan recommendation for you.</t>
  </si>
  <si>
    <t>Please complete as much as you can. If you have any</t>
  </si>
  <si>
    <t>questions - please leave blank or ask Premium Broker</t>
  </si>
  <si>
    <t xml:space="preserve">We are licensed to arrange loans and leases under the </t>
  </si>
  <si>
    <t>The NCCP Act regulates the activity of lending, leasing</t>
  </si>
  <si>
    <t>and finance broking.</t>
  </si>
  <si>
    <t>1st Choice</t>
  </si>
  <si>
    <t>2nd Choice</t>
  </si>
  <si>
    <t>3rd Choice</t>
  </si>
  <si>
    <t>Loan Split 3</t>
  </si>
  <si>
    <t>National Consumer Credit Protection (NCCP) Act 2009</t>
  </si>
  <si>
    <t>Phone:</t>
  </si>
  <si>
    <t>Repayments pm</t>
  </si>
  <si>
    <t>Int Only/P&amp;I</t>
  </si>
  <si>
    <t>Indicative Fixed</t>
  </si>
  <si>
    <t>Trustees</t>
  </si>
  <si>
    <t>Directors</t>
  </si>
  <si>
    <t>Property Trust</t>
  </si>
  <si>
    <t>Quick Cashflow</t>
  </si>
  <si>
    <t>Existing Contributions</t>
  </si>
  <si>
    <t>Existing Rental</t>
  </si>
  <si>
    <t>Instalments pa</t>
  </si>
  <si>
    <t>Proposed Rental Income</t>
  </si>
  <si>
    <t>Assessed +2%</t>
  </si>
  <si>
    <t>Net Cashflow</t>
  </si>
  <si>
    <t>TOTAL INCOME</t>
  </si>
  <si>
    <t>SMSF Post Funding Liquidity</t>
  </si>
  <si>
    <t>Current SMSF Assets</t>
  </si>
  <si>
    <t>ADD - One off Contributions</t>
  </si>
  <si>
    <t>Min 10% Liquidity</t>
  </si>
  <si>
    <t>TOTAL ASSETS</t>
  </si>
  <si>
    <t>LESS - Deposit Required</t>
  </si>
  <si>
    <t>Surplus to Min</t>
  </si>
  <si>
    <t>Liquidity Post Funding</t>
  </si>
  <si>
    <t>NET ASSETS REMAINING</t>
  </si>
  <si>
    <t xml:space="preserve">Accountant’s Details: </t>
  </si>
  <si>
    <t>SMSF Borrowing</t>
  </si>
  <si>
    <t>Payslip Analysis</t>
  </si>
  <si>
    <t>Applicatant Name:</t>
  </si>
  <si>
    <t>Adopted Income:</t>
  </si>
  <si>
    <t>Trust - BARE/Prop</t>
  </si>
  <si>
    <t>Busines</t>
  </si>
  <si>
    <t>Other Purpose:</t>
  </si>
  <si>
    <t>Loan Calculations</t>
  </si>
  <si>
    <t>Proposed Rent:</t>
  </si>
  <si>
    <t>Strata Fees:</t>
  </si>
  <si>
    <t>Insurance Car:</t>
  </si>
  <si>
    <t>Insurance Home:</t>
  </si>
  <si>
    <t>Groceries:</t>
  </si>
  <si>
    <t>https://www.moneysmart.gov.au/tools-and-resources/calculators-and-apps/budget-planner</t>
  </si>
  <si>
    <t>Budget Help</t>
  </si>
  <si>
    <t>ô</t>
  </si>
  <si>
    <t>Insurance Health:</t>
  </si>
  <si>
    <t>Legal - Conveyancing*</t>
  </si>
  <si>
    <t>Send Requirements</t>
  </si>
  <si>
    <t>Disclaimer</t>
  </si>
  <si>
    <t>Assess</t>
  </si>
  <si>
    <t>Full / Part / Casual</t>
  </si>
  <si>
    <t>PAYG / Self Emp</t>
  </si>
  <si>
    <t>Addresses</t>
  </si>
  <si>
    <t>Profile</t>
  </si>
  <si>
    <t>Current Employment</t>
  </si>
  <si>
    <t>Previous Employment</t>
  </si>
  <si>
    <t>Applicants Details</t>
  </si>
  <si>
    <t>Yield</t>
  </si>
  <si>
    <t xml:space="preserve">Unless we advise otherwise you can Fax/Email/Scan these documents to us. </t>
  </si>
  <si>
    <t>Low</t>
  </si>
  <si>
    <t>High</t>
  </si>
  <si>
    <t>Med</t>
  </si>
  <si>
    <t>Extra Repayments</t>
  </si>
  <si>
    <t>My Broker</t>
  </si>
  <si>
    <t>My Broker:</t>
  </si>
  <si>
    <t>Robert WARD</t>
  </si>
  <si>
    <t>John McLENNAN</t>
  </si>
  <si>
    <t>Brokers</t>
  </si>
  <si>
    <t>James AITCHISON</t>
  </si>
  <si>
    <t>Hector GARCIA</t>
  </si>
  <si>
    <t>Robert PORTER</t>
  </si>
  <si>
    <t>Ivan POH</t>
  </si>
  <si>
    <t>Brett WALKER</t>
  </si>
  <si>
    <t>Stuart MILLS</t>
  </si>
  <si>
    <t>Tom NGUYEN</t>
  </si>
  <si>
    <t>Anthony BAZIL</t>
  </si>
  <si>
    <t>Total interest</t>
  </si>
  <si>
    <t>Comparison rate</t>
  </si>
  <si>
    <t>Initial rate</t>
  </si>
  <si>
    <t>Initial period</t>
  </si>
  <si>
    <t>Initial monthly repayment</t>
  </si>
  <si>
    <t>Ongoing rate</t>
  </si>
  <si>
    <t>Total fees</t>
  </si>
  <si>
    <t>Max loan amount</t>
  </si>
  <si>
    <t>Repayment frequency</t>
  </si>
  <si>
    <t>Upfront fees</t>
  </si>
  <si>
    <t>Ongoing monthly fees</t>
  </si>
  <si>
    <t>Ongoing annual fees</t>
  </si>
  <si>
    <t>Ongoing fees notes</t>
  </si>
  <si>
    <t>Allowable splits</t>
  </si>
  <si>
    <t>Minimum redraw</t>
  </si>
  <si>
    <t>Loan redraw fee</t>
  </si>
  <si>
    <t>Direct salary credit</t>
  </si>
  <si>
    <t>Credit card options</t>
  </si>
  <si>
    <t>Cheque account access</t>
  </si>
  <si>
    <t>Offset account</t>
  </si>
  <si>
    <t>Internet banking</t>
  </si>
  <si>
    <t>1. Character / History</t>
  </si>
  <si>
    <t>Good Account Conduct (ie repayment history)</t>
  </si>
  <si>
    <t>Genuine Savings evident</t>
  </si>
  <si>
    <t>ABN Search - Director/Secretary/Sole Trader</t>
  </si>
  <si>
    <t>Stable Employment History (Multible Employers in 3 years)</t>
  </si>
  <si>
    <t>Stable Residential Status (Multible locations &lt; 3 yrs)</t>
  </si>
  <si>
    <t>Have you got a minimum 20% deposit</t>
  </si>
  <si>
    <t>Est:</t>
  </si>
  <si>
    <t xml:space="preserve">Have you got extra for Stamp Duty </t>
  </si>
  <si>
    <t>Have you got  extra for legals &amp; fees</t>
  </si>
  <si>
    <t>To get a loan approved most lenders require three (3) basic principles to be confirmed</t>
  </si>
  <si>
    <t>Good Credit Rating or Score (ie Veda Check)</t>
  </si>
  <si>
    <t>Your Current Income</t>
  </si>
  <si>
    <t>Your proposed rental</t>
  </si>
  <si>
    <t>Your Living Expense</t>
  </si>
  <si>
    <t>Your Proposed Home Loans</t>
  </si>
  <si>
    <t>Your Other Commitments</t>
  </si>
  <si>
    <t>Your Continuing Home Loans</t>
  </si>
  <si>
    <t xml:space="preserve">      a) Lenders Mortgage Insurance LMI</t>
  </si>
  <si>
    <t xml:space="preserve">      b) Parental Guarantee</t>
  </si>
  <si>
    <t>The lender will check your character and history. Is your previous history ok?</t>
  </si>
  <si>
    <t>Ideally the lenders will lend you 80% of the value of your security. Do you have enough security/equity?</t>
  </si>
  <si>
    <t>Finally the lender will make sure you can afford the loan. They will assess your current income &amp; liabilities</t>
  </si>
  <si>
    <t>Responsible Lending - Govt Guidelines Met</t>
  </si>
  <si>
    <t>Compliance Documents</t>
  </si>
  <si>
    <t>Requirements &amp; Objectives</t>
  </si>
  <si>
    <t>Reverse Mortgage Calculator - provided to client</t>
  </si>
  <si>
    <t>Reverse Mortgage FactSheet - provided to client</t>
  </si>
  <si>
    <t>Income &amp; Servicing</t>
  </si>
  <si>
    <t>File Notes/Key Dates</t>
  </si>
  <si>
    <t>Broker Name:</t>
  </si>
  <si>
    <t>Copy of Preliminary Assessment requested by client - sent</t>
  </si>
  <si>
    <r>
      <rPr>
        <sz val="11"/>
        <color rgb="FFFF0000"/>
        <rFont val="Calibri"/>
        <family val="2"/>
        <scheme val="minor"/>
      </rPr>
      <t>*</t>
    </r>
    <r>
      <rPr>
        <sz val="11"/>
        <color theme="0" tint="-0.34998626667073579"/>
        <rFont val="Calibri"/>
        <family val="2"/>
        <scheme val="minor"/>
      </rPr>
      <t>COMPLIANCE - Credit Quote &amp; Proposal - signed</t>
    </r>
  </si>
  <si>
    <r>
      <rPr>
        <sz val="11"/>
        <color rgb="FFFF0000"/>
        <rFont val="Calibri"/>
        <family val="2"/>
        <scheme val="minor"/>
      </rPr>
      <t>*</t>
    </r>
    <r>
      <rPr>
        <sz val="11"/>
        <color theme="0" tint="-0.34998626667073579"/>
        <rFont val="Calibri"/>
        <family val="2"/>
        <scheme val="minor"/>
      </rPr>
      <t>Loan Products provided match client requirements</t>
    </r>
  </si>
  <si>
    <r>
      <rPr>
        <sz val="11"/>
        <color rgb="FFFF0000"/>
        <rFont val="Calibri"/>
        <family val="2"/>
        <scheme val="minor"/>
      </rPr>
      <t>*</t>
    </r>
    <r>
      <rPr>
        <sz val="11"/>
        <color theme="0" tint="-0.34998626667073579"/>
        <rFont val="Calibri"/>
        <family val="2"/>
        <scheme val="minor"/>
      </rPr>
      <t>Brokes Notes - prepared and sent to lender</t>
    </r>
  </si>
  <si>
    <r>
      <rPr>
        <sz val="11"/>
        <color rgb="FFFF0000"/>
        <rFont val="Calibri"/>
        <family val="2"/>
        <scheme val="minor"/>
      </rPr>
      <t>*</t>
    </r>
    <r>
      <rPr>
        <sz val="11"/>
        <color theme="0" tint="-0.34998626667073579"/>
        <rFont val="Calibri"/>
        <family val="2"/>
        <scheme val="minor"/>
      </rPr>
      <t>Income Streams Confirmed</t>
    </r>
  </si>
  <si>
    <r>
      <rPr>
        <sz val="11"/>
        <color rgb="FFFF0000"/>
        <rFont val="Calibri"/>
        <family val="2"/>
        <scheme val="minor"/>
      </rPr>
      <t>*</t>
    </r>
    <r>
      <rPr>
        <sz val="11"/>
        <color theme="0" tint="-0.34998626667073579"/>
        <rFont val="Calibri"/>
        <family val="2"/>
        <scheme val="minor"/>
      </rPr>
      <t>Expenses - discussed and updated</t>
    </r>
  </si>
  <si>
    <r>
      <rPr>
        <sz val="11"/>
        <color rgb="FFFF0000"/>
        <rFont val="Calibri"/>
        <family val="2"/>
        <scheme val="minor"/>
      </rPr>
      <t>*</t>
    </r>
    <r>
      <rPr>
        <sz val="11"/>
        <color theme="0" tint="-0.34998626667073579"/>
        <rFont val="Calibri"/>
        <family val="2"/>
        <scheme val="minor"/>
      </rPr>
      <t>Expenses - Trading Accounts checked</t>
    </r>
  </si>
  <si>
    <r>
      <rPr>
        <sz val="11"/>
        <color rgb="FFFF0000"/>
        <rFont val="Calibri"/>
        <family val="2"/>
        <scheme val="minor"/>
      </rPr>
      <t>*</t>
    </r>
    <r>
      <rPr>
        <sz val="11"/>
        <color theme="0" tint="-0.34998626667073579"/>
        <rFont val="Calibri"/>
        <family val="2"/>
        <scheme val="minor"/>
      </rPr>
      <t>Calculator - Lenders Approved</t>
    </r>
  </si>
  <si>
    <r>
      <rPr>
        <sz val="11"/>
        <color rgb="FFFF0000"/>
        <rFont val="Calibri"/>
        <family val="2"/>
        <scheme val="minor"/>
      </rPr>
      <t>*</t>
    </r>
    <r>
      <rPr>
        <sz val="11"/>
        <color theme="0" tint="-0.34998626667073579"/>
        <rFont val="Calibri"/>
        <family val="2"/>
        <scheme val="minor"/>
      </rPr>
      <t>Client's Loan Preferences &amp; Features completed</t>
    </r>
  </si>
  <si>
    <r>
      <t xml:space="preserve">Below is a list of compliance documents and requirments.             </t>
    </r>
    <r>
      <rPr>
        <sz val="10"/>
        <color rgb="FFFF0000"/>
        <rFont val="Calibri"/>
        <family val="2"/>
        <scheme val="minor"/>
      </rPr>
      <t xml:space="preserve">  *MANDATORY REQUIREMENT</t>
    </r>
  </si>
  <si>
    <t>Ongoing monthly repayment</t>
  </si>
  <si>
    <t>Early repayment fee notes</t>
  </si>
  <si>
    <t>This comparison rate applies only to the example or examples given. Different amounts and terms will result in different comparison rates. Costs such as redraw fees or early repayment fees, and cost savings such as fee waivers, are not included in the comparison rate but may influence the cost of the loan.</t>
  </si>
  <si>
    <t>Comparison Rate</t>
  </si>
  <si>
    <t>** COPY LENDER DATA HERE **</t>
  </si>
  <si>
    <r>
      <t xml:space="preserve">Premium Broker Pty Limitedhave tried to be as accurate as possible in providing product information; however no material contained within should be construed or relied upon as providing terms and conditions in relation to any product. No responsibility is taken for errors or omissions within and you should check the terms and conditions of the loan contract for full details of product features. </t>
    </r>
    <r>
      <rPr>
        <b/>
        <u/>
        <sz val="8"/>
        <color theme="1"/>
        <rFont val="Calibri"/>
        <family val="2"/>
        <scheme val="minor"/>
      </rPr>
      <t>All rates provided are indicative and subject to change.</t>
    </r>
  </si>
  <si>
    <t>Broker's Notes</t>
  </si>
  <si>
    <t>Concerns</t>
  </si>
  <si>
    <t>Living Expenses pm</t>
  </si>
  <si>
    <t>Medical</t>
  </si>
  <si>
    <t>Utilities</t>
  </si>
  <si>
    <t>Takeway/Restaurant</t>
  </si>
  <si>
    <t>Food &amp; Groceries</t>
  </si>
  <si>
    <t>Repairs/Maintence:</t>
  </si>
  <si>
    <t>Insurance Life:</t>
  </si>
  <si>
    <t>Insurance</t>
  </si>
  <si>
    <t>Other Medical:</t>
  </si>
  <si>
    <t>Electricty/Gas</t>
  </si>
  <si>
    <t>p4w</t>
  </si>
  <si>
    <t>pf</t>
  </si>
  <si>
    <t>pw</t>
  </si>
  <si>
    <t>Per Quarter</t>
  </si>
  <si>
    <t>pq</t>
  </si>
  <si>
    <t>pd</t>
  </si>
  <si>
    <t>ph</t>
  </si>
  <si>
    <t>Muliplier</t>
  </si>
  <si>
    <t>per</t>
  </si>
  <si>
    <t>Amount</t>
  </si>
  <si>
    <t>Fuel:</t>
  </si>
  <si>
    <t>Rego/Car</t>
  </si>
  <si>
    <t>Public Transport</t>
  </si>
  <si>
    <t>Transport</t>
  </si>
  <si>
    <t>Texts/Uniforms Etc</t>
  </si>
  <si>
    <t>Education</t>
  </si>
  <si>
    <t>Personal Expenses</t>
  </si>
  <si>
    <t>Clothing/Grooming</t>
  </si>
  <si>
    <t>Entertainment</t>
  </si>
  <si>
    <t>Additional Super</t>
  </si>
  <si>
    <t>Self Employed</t>
  </si>
  <si>
    <t>Purpose</t>
  </si>
  <si>
    <t>SIGNATURES</t>
  </si>
  <si>
    <t>LOANS - Home</t>
  </si>
  <si>
    <t>Required</t>
  </si>
  <si>
    <t>Documents</t>
  </si>
  <si>
    <t>LOANS - Other</t>
  </si>
  <si>
    <t>SUPER Statements</t>
  </si>
  <si>
    <t>INCOME - Personal</t>
  </si>
  <si>
    <t>INCOME - Business</t>
  </si>
  <si>
    <t>INCOME - Rent</t>
  </si>
  <si>
    <t>INCOME - Other</t>
  </si>
  <si>
    <t>LOANS - C/cards</t>
  </si>
  <si>
    <t>Trail</t>
  </si>
  <si>
    <t>TOTAL</t>
  </si>
  <si>
    <t>Instalment</t>
  </si>
  <si>
    <t>John RITCHIE</t>
  </si>
  <si>
    <t>Commission</t>
  </si>
  <si>
    <t xml:space="preserve">Rental Inc </t>
  </si>
  <si>
    <t>Rental Yield</t>
  </si>
  <si>
    <t>STATEMENTS</t>
  </si>
  <si>
    <t>PURCHASE</t>
  </si>
  <si>
    <t>SECURITY</t>
  </si>
  <si>
    <t>HELP</t>
  </si>
  <si>
    <t>CONSTRUCTION</t>
  </si>
  <si>
    <t>IDENTITY - Personal</t>
  </si>
  <si>
    <t>FIRB</t>
  </si>
  <si>
    <t>Foreign Investment Review Board Approval</t>
  </si>
  <si>
    <r>
      <rPr>
        <u/>
        <sz val="11"/>
        <color rgb="FFFF0000"/>
        <rFont val="Calibri"/>
        <family val="2"/>
        <scheme val="minor"/>
      </rPr>
      <t>WARNING</t>
    </r>
    <r>
      <rPr>
        <sz val="11"/>
        <color rgb="FFFF0000"/>
        <rFont val="Calibri"/>
        <family val="2"/>
        <scheme val="minor"/>
      </rPr>
      <t xml:space="preserve"> - All statements need to include NAME, ADDRESS, A/C NUMBER &amp; CURRENT - ie within 30 days.</t>
    </r>
  </si>
  <si>
    <t>TRANSACTION LISTINGS are usually NOT ACCEPTED - unless matched with a older statement</t>
  </si>
  <si>
    <t>INFORMATION</t>
  </si>
  <si>
    <t>Name &amp; DOB of your children</t>
  </si>
  <si>
    <t>Current Address/s for the past 3 years</t>
  </si>
  <si>
    <t>Updated Assets &amp; Liabilities Statement - see attached</t>
  </si>
  <si>
    <t>Updated Monthly Expense Statement - see attached</t>
  </si>
  <si>
    <t>Letter of Gift (Non Repayable) from parents</t>
  </si>
  <si>
    <t>Deposit</t>
  </si>
  <si>
    <t>Construction Finance</t>
  </si>
  <si>
    <t>Pre-Construction</t>
  </si>
  <si>
    <t>Paid</t>
  </si>
  <si>
    <t>Remaining</t>
  </si>
  <si>
    <t>Pending</t>
  </si>
  <si>
    <t>Footings</t>
  </si>
  <si>
    <t>Slab</t>
  </si>
  <si>
    <t>Wall Frames</t>
  </si>
  <si>
    <t>Roof Tiles</t>
  </si>
  <si>
    <t>Cladding</t>
  </si>
  <si>
    <t>Insulation</t>
  </si>
  <si>
    <t>Internal Walls</t>
  </si>
  <si>
    <t>Skirting Internal</t>
  </si>
  <si>
    <t>Occupation Cert</t>
  </si>
  <si>
    <t>Total Paid</t>
  </si>
  <si>
    <t>TOTAL Build Costs</t>
  </si>
  <si>
    <t>LOANS - Car</t>
  </si>
  <si>
    <t>Summary of Accounts - ScreenDump of NetBank (A/c &amp; Balances)</t>
  </si>
  <si>
    <t>BOC</t>
  </si>
  <si>
    <t>Bank of China</t>
  </si>
  <si>
    <t>BOS</t>
  </si>
  <si>
    <t>Bank of Sydney</t>
  </si>
  <si>
    <t>BMW</t>
  </si>
  <si>
    <t>BMW Finance</t>
  </si>
  <si>
    <t>NEW</t>
  </si>
  <si>
    <t>Newcastle Permant</t>
  </si>
  <si>
    <t>RCK</t>
  </si>
  <si>
    <t>Rock Building Society</t>
  </si>
  <si>
    <t>GRE</t>
  </si>
  <si>
    <t>Greater</t>
  </si>
  <si>
    <t>IMB</t>
  </si>
  <si>
    <t>Illawarra Mutual</t>
  </si>
  <si>
    <t>AUS</t>
  </si>
  <si>
    <t>Aussie Home Loans</t>
  </si>
  <si>
    <t>BOQ</t>
  </si>
  <si>
    <t>Bank of Queensland</t>
  </si>
  <si>
    <t>BEN</t>
  </si>
  <si>
    <t>Bendigo Bank</t>
  </si>
  <si>
    <t>HER</t>
  </si>
  <si>
    <t>Heritage</t>
  </si>
  <si>
    <t>MOR</t>
  </si>
  <si>
    <t>Mortgage House</t>
  </si>
  <si>
    <t>YBR</t>
  </si>
  <si>
    <t>Yellow Brick Road</t>
  </si>
  <si>
    <t>VWF</t>
  </si>
  <si>
    <t>VW Finance</t>
  </si>
  <si>
    <t>GEC</t>
  </si>
  <si>
    <t>GE Capital</t>
  </si>
  <si>
    <t>UTI</t>
  </si>
  <si>
    <t>LVR</t>
  </si>
  <si>
    <t>Interest Rate</t>
  </si>
  <si>
    <t>N/A</t>
  </si>
  <si>
    <t>Interest Only</t>
  </si>
  <si>
    <t>Employment</t>
  </si>
  <si>
    <t>Bonus/Other Income?</t>
  </si>
  <si>
    <t xml:space="preserve">Responsible Lending </t>
  </si>
  <si>
    <t>Borrower Fact Find</t>
  </si>
  <si>
    <t>Does the borrower have a will &amp; testament in place?</t>
  </si>
  <si>
    <t>Bonus Type</t>
  </si>
  <si>
    <t>Bonus</t>
  </si>
  <si>
    <t>Overtime</t>
  </si>
  <si>
    <t>Second Job</t>
  </si>
  <si>
    <t>Family Benefits</t>
  </si>
  <si>
    <t>Centrelink</t>
  </si>
  <si>
    <t>TOTAL LIVING EXPENSES - Excluding Rent</t>
  </si>
  <si>
    <t>Investment/Personal</t>
  </si>
  <si>
    <t>Total Term</t>
  </si>
  <si>
    <t>Credit Quote</t>
  </si>
  <si>
    <t>https://vowwills.com.au/</t>
  </si>
  <si>
    <r>
      <rPr>
        <sz val="11"/>
        <color rgb="FFFF0000"/>
        <rFont val="Calibri"/>
        <family val="2"/>
        <scheme val="minor"/>
      </rPr>
      <t>*</t>
    </r>
    <r>
      <rPr>
        <sz val="11"/>
        <color theme="0" tint="-0.34998626667073579"/>
        <rFont val="Calibri"/>
        <family val="2"/>
        <scheme val="minor"/>
      </rPr>
      <t xml:space="preserve">Employment Confirmed </t>
    </r>
  </si>
  <si>
    <t>Retention</t>
  </si>
  <si>
    <t>Stamp Duty</t>
  </si>
  <si>
    <t>On Completion Value:</t>
  </si>
  <si>
    <t>Purchase Costs</t>
  </si>
  <si>
    <t>Building</t>
  </si>
  <si>
    <t>Landscaping</t>
  </si>
  <si>
    <t>Council Approval</t>
  </si>
  <si>
    <t>Demolition</t>
  </si>
  <si>
    <t>Fixed Price Contract</t>
  </si>
  <si>
    <t>Valuation "AS IS"</t>
  </si>
  <si>
    <t xml:space="preserve"> Tick if part of - Fixed Price Contract</t>
  </si>
  <si>
    <t>FBC Progress Payment</t>
  </si>
  <si>
    <t>Post-Construction</t>
  </si>
  <si>
    <t>Total Purchase&amp; Build</t>
  </si>
  <si>
    <t>Includes proposed Budget, Fixed Price Contract &amp; Progress Payments</t>
  </si>
  <si>
    <t>Construct Loan:</t>
  </si>
  <si>
    <t>Other Loans:</t>
  </si>
  <si>
    <t>Proposed LVR:</t>
  </si>
  <si>
    <t>Construction Loan</t>
  </si>
  <si>
    <t>Surplus Position</t>
  </si>
  <si>
    <t>Contribution Required</t>
  </si>
  <si>
    <t>This amount to be paid first</t>
  </si>
  <si>
    <t>Approved Construction Loan</t>
  </si>
  <si>
    <t>This Amount - in total</t>
  </si>
  <si>
    <t>On Completion Valuation*</t>
  </si>
  <si>
    <t>*This is a valuation conducted by the Lender based on current value, proposed drawings, council approval, costs and specifications.</t>
  </si>
  <si>
    <t>Add client to Symmetry</t>
  </si>
  <si>
    <t>Add deal to AOL</t>
  </si>
  <si>
    <t>Recommend</t>
  </si>
  <si>
    <t>Vow Loan Protect</t>
  </si>
  <si>
    <t>Vow Wills</t>
  </si>
  <si>
    <t>Vow Wealth</t>
  </si>
  <si>
    <t>Allianz</t>
  </si>
  <si>
    <t>Credit Guide</t>
  </si>
  <si>
    <t>Prepare and send the client a Credit Guide &amp; Privacy</t>
  </si>
  <si>
    <t xml:space="preserve">Prepare a Loan Recommendation </t>
  </si>
  <si>
    <t>Prepare a Credit Quote</t>
  </si>
  <si>
    <t>Send the Clients a list of requirements</t>
  </si>
  <si>
    <t>Please add the clients details to Symmetry</t>
  </si>
  <si>
    <t>Please add this deal to AOL and Ready to Submit Status</t>
  </si>
  <si>
    <t>Add Documents</t>
  </si>
  <si>
    <t>FactFind - Funds to Complete</t>
  </si>
  <si>
    <t>FactFind - Assets &amp; Liabilities</t>
  </si>
  <si>
    <t>FactFind - Living Expenses</t>
  </si>
  <si>
    <t>FactFind - Servicing Capacity</t>
  </si>
  <si>
    <t>FactFind - Requirments</t>
  </si>
  <si>
    <t>Property</t>
  </si>
  <si>
    <t>Symmentry - Loan Comparison (using 3 loans abaove)</t>
  </si>
  <si>
    <t>Shares/Margin</t>
  </si>
  <si>
    <t>Other Business</t>
  </si>
  <si>
    <r>
      <t xml:space="preserve">Contents </t>
    </r>
    <r>
      <rPr>
        <sz val="10"/>
        <color theme="1" tint="0.499984740745262"/>
        <rFont val="Webdings"/>
        <family val="1"/>
        <charset val="2"/>
      </rPr>
      <t>H</t>
    </r>
  </si>
  <si>
    <t>� Motor Vehicle Finance – Vow Leasing can arrange your Leasing, CHP, Chattel Mortgage Finance?</t>
  </si>
  <si>
    <t>Year 0</t>
  </si>
  <si>
    <t>Year 1</t>
  </si>
  <si>
    <t>Year 2</t>
  </si>
  <si>
    <t>Year 3</t>
  </si>
  <si>
    <t>Year 4</t>
  </si>
  <si>
    <t>Year 5</t>
  </si>
  <si>
    <t>Year 6</t>
  </si>
  <si>
    <t>Year 7</t>
  </si>
  <si>
    <t>Year 8</t>
  </si>
  <si>
    <t>Year 9</t>
  </si>
  <si>
    <t>Year 10</t>
  </si>
  <si>
    <t>Rate (NAB)</t>
  </si>
  <si>
    <t>Upfront Cum</t>
  </si>
  <si>
    <t>Trail Cumulative</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</si>
  <si>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</si>
  <si>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</si>
  <si>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</si>
  <si>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</si>
  <si>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</si>
  <si>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</si>
  <si>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</si>
  <si>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</si>
  <si>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</si>
  <si>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</si>
  <si>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</si>
  <si>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</si>
  <si>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</si>
  <si>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</si>
  <si>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</si>
  <si>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</si>
  <si>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</si>
  <si>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</si>
  <si>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</si>
  <si>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</si>
  <si>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BCU</t>
  </si>
  <si>
    <t>Bankstown City Credit Union</t>
  </si>
  <si>
    <t>AWB</t>
  </si>
  <si>
    <t>Austwide Bank</t>
  </si>
  <si>
    <t>ARB</t>
  </si>
  <si>
    <t>Arab Bank</t>
  </si>
  <si>
    <t>BEY</t>
  </si>
  <si>
    <t>Beyond Bank</t>
  </si>
  <si>
    <t>BAU</t>
  </si>
  <si>
    <t>Bank Australia</t>
  </si>
  <si>
    <t>ING Direct Bank</t>
  </si>
  <si>
    <t>LOA</t>
  </si>
  <si>
    <t>Loans.Com.au</t>
  </si>
  <si>
    <t>LIB</t>
  </si>
  <si>
    <t>Liberty Financial</t>
  </si>
  <si>
    <t>MYS</t>
  </si>
  <si>
    <t>My State</t>
  </si>
  <si>
    <t>P&amp;N Bank</t>
  </si>
  <si>
    <t>PNB</t>
  </si>
  <si>
    <t>Pepper Money</t>
  </si>
  <si>
    <t>POL</t>
  </si>
  <si>
    <t>Police Bank</t>
  </si>
  <si>
    <t>QBK</t>
  </si>
  <si>
    <t>Q Bank</t>
  </si>
  <si>
    <t>QCU</t>
  </si>
  <si>
    <t>Queenslanders Credit Union</t>
  </si>
  <si>
    <t>QUD</t>
  </si>
  <si>
    <t>Quodos Bank</t>
  </si>
  <si>
    <t>Regional Bank Australia</t>
  </si>
  <si>
    <t>REG</t>
  </si>
  <si>
    <t>RES</t>
  </si>
  <si>
    <t>Resi Mortgage Corp</t>
  </si>
  <si>
    <t>SCU</t>
  </si>
  <si>
    <t>Sydnet Credit Union</t>
  </si>
  <si>
    <t>UNI</t>
  </si>
  <si>
    <t>UniBank</t>
  </si>
  <si>
    <t>Virgin Money</t>
  </si>
  <si>
    <t>Justin KURENDA</t>
  </si>
  <si>
    <t>Peter LANGENBERG</t>
  </si>
  <si>
    <t>TAX TABLE 2015/16</t>
  </si>
  <si>
    <t>Add notes here</t>
  </si>
  <si>
    <t>School Fees / Child Care</t>
  </si>
  <si>
    <t>Doctors/Chemist:</t>
  </si>
  <si>
    <t>Categories</t>
  </si>
  <si>
    <t>Water/Council Rates</t>
  </si>
  <si>
    <t>Telephone</t>
  </si>
  <si>
    <t>Internet/Pay TV</t>
  </si>
  <si>
    <t>Communications</t>
  </si>
  <si>
    <t>Housing - excl Rent</t>
  </si>
  <si>
    <t>Ownership</t>
  </si>
  <si>
    <t>Attributes</t>
  </si>
  <si>
    <t>Other Party - Ie Real Estate Agent</t>
  </si>
  <si>
    <t>Company</t>
  </si>
  <si>
    <t>Valuation Access</t>
  </si>
  <si>
    <t>Security for these loans</t>
  </si>
  <si>
    <t>Pool</t>
  </si>
  <si>
    <t>View</t>
  </si>
  <si>
    <t>Internal</t>
  </si>
  <si>
    <t>LG</t>
  </si>
  <si>
    <t>Land m2</t>
  </si>
  <si>
    <t>RP Data Login</t>
  </si>
  <si>
    <t>Google Maps</t>
  </si>
  <si>
    <t>White Pages</t>
  </si>
  <si>
    <t xml:space="preserve">Other - </t>
  </si>
  <si>
    <t>Refinance Calculation</t>
  </si>
  <si>
    <t>Current Lender</t>
  </si>
  <si>
    <t>Current Loan</t>
  </si>
  <si>
    <t>Client names:</t>
  </si>
  <si>
    <t>John Smith &amp; Jane Doe</t>
  </si>
  <si>
    <r>
      <rPr>
        <b/>
        <sz val="8"/>
        <color theme="1"/>
        <rFont val="Calibri"/>
        <family val="2"/>
        <scheme val="minor"/>
      </rPr>
      <t>DISCLAIMER:</t>
    </r>
    <r>
      <rPr>
        <sz val="8"/>
        <color theme="1"/>
        <rFont val="Calibri"/>
        <family val="2"/>
        <scheme val="minor"/>
      </rPr>
      <t xml:space="preserve"> *Clawback Policies vary with each Lender, Loan Product, Repayment circumstance, and more. The current database is updated as of 27 January 2017. **We recommend you refer to the VOW Commissions table available on the Vow broker website to confirm figures and policy. (</t>
    </r>
    <r>
      <rPr>
        <b/>
        <sz val="8"/>
        <color theme="1"/>
        <rFont val="Calibri"/>
        <family val="2"/>
        <scheme val="minor"/>
      </rPr>
      <t>PSVCT:</t>
    </r>
    <r>
      <rPr>
        <sz val="8"/>
        <color theme="1"/>
        <rFont val="Calibri"/>
        <family val="2"/>
        <scheme val="minor"/>
      </rPr>
      <t xml:space="preserve"> Please See Vow Commissions Table)</t>
    </r>
  </si>
  <si>
    <t>Current Lender:</t>
  </si>
  <si>
    <t>Date Funded</t>
  </si>
  <si>
    <t>Date of Discharge</t>
  </si>
  <si>
    <t>Elapsed period from funding date</t>
  </si>
  <si>
    <t>*Estimated Clawback</t>
  </si>
  <si>
    <t>** Estimated  Commission if refinanced to</t>
  </si>
  <si>
    <t>** Estimated Commission less Estimated Clawback</t>
  </si>
  <si>
    <t>In Months</t>
  </si>
  <si>
    <t>In Days</t>
  </si>
  <si>
    <t>Percentage (%)</t>
  </si>
  <si>
    <t>Amount ($)</t>
  </si>
  <si>
    <t>Review</t>
  </si>
  <si>
    <t>1. Current Loan Information</t>
  </si>
  <si>
    <t>Total Loan Amt:</t>
  </si>
  <si>
    <t>Split</t>
  </si>
  <si>
    <t>Account Number</t>
  </si>
  <si>
    <t>Product name</t>
  </si>
  <si>
    <t>Variable rate</t>
  </si>
  <si>
    <t>Fixed Expiry</t>
  </si>
  <si>
    <t>IO Expiry</t>
  </si>
  <si>
    <t>Release Fees</t>
  </si>
  <si>
    <t>Fixed Years Remaining</t>
  </si>
  <si>
    <t>3 Year Fixed Orange Advantage</t>
  </si>
  <si>
    <t xml:space="preserve">Orange Advantage </t>
  </si>
  <si>
    <t>2 Year fixed Orange Advantage</t>
  </si>
  <si>
    <t>Totals:</t>
  </si>
  <si>
    <t>Current Loan Variable Rate:</t>
  </si>
  <si>
    <t>Total Fees:</t>
  </si>
  <si>
    <r>
      <t>Notes</t>
    </r>
    <r>
      <rPr>
        <i/>
        <sz val="8"/>
        <color theme="0" tint="-0.249977111117893"/>
        <rFont val="Calibri"/>
        <family val="2"/>
        <scheme val="minor"/>
      </rPr>
      <t xml:space="preserve">                                                                                                                                                                                                                                                                                                                                                                                                                                                                                                                                                              </t>
    </r>
  </si>
  <si>
    <t>Spoke to:</t>
  </si>
  <si>
    <t>Jason from ING</t>
  </si>
  <si>
    <t xml:space="preserve">Time: </t>
  </si>
  <si>
    <t>12:00pm</t>
  </si>
  <si>
    <t>Tel:</t>
  </si>
  <si>
    <t>1300 368 952</t>
  </si>
  <si>
    <t>2. Proposed Loan and Comparison</t>
  </si>
  <si>
    <t>Fixed Split Savings Estimate</t>
  </si>
  <si>
    <t>Proposed Lender:</t>
  </si>
  <si>
    <t>Proposed Loan Total:</t>
  </si>
  <si>
    <t>Variable rate:</t>
  </si>
  <si>
    <t>Current and Proposed Loan Difference on first Year</t>
  </si>
  <si>
    <r>
      <rPr>
        <b/>
        <sz val="12"/>
        <color theme="1"/>
        <rFont val="Calibri"/>
        <family val="2"/>
        <scheme val="minor"/>
      </rPr>
      <t>[N]:</t>
    </r>
    <r>
      <rPr>
        <b/>
        <sz val="16"/>
        <color theme="1"/>
        <rFont val="Calibri"/>
        <family val="2"/>
        <scheme val="minor"/>
      </rPr>
      <t xml:space="preserve">
</t>
    </r>
    <r>
      <rPr>
        <sz val="9"/>
        <color theme="1"/>
        <rFont val="Calibri"/>
        <family val="2"/>
        <scheme val="minor"/>
      </rPr>
      <t>Year comparison</t>
    </r>
  </si>
  <si>
    <t>Proposed Amount</t>
  </si>
  <si>
    <t>Proposed Product</t>
  </si>
  <si>
    <t>Ongoing Proposed Lender Fees</t>
  </si>
  <si>
    <t>Fixed? (0=&gt;)</t>
  </si>
  <si>
    <t>Calculated on current loan remaining fixed period</t>
  </si>
  <si>
    <t>Calculated on proposed fixed period</t>
  </si>
  <si>
    <t>3 year fixed Rocket Repay HL</t>
  </si>
  <si>
    <t>Variable Rocket Repay HL</t>
  </si>
  <si>
    <t>2 year Fixed Rocket Repay HL</t>
  </si>
  <si>
    <t>Total Proposed Fees:</t>
  </si>
  <si>
    <t>Total:</t>
  </si>
  <si>
    <t>TOTAL Release and Proposed Fees:</t>
  </si>
  <si>
    <t>Savings on 1st Year:</t>
  </si>
  <si>
    <t>Total Annual Savings</t>
  </si>
  <si>
    <t>Fixed Rate Loan Comparison table</t>
  </si>
  <si>
    <r>
      <rPr>
        <b/>
        <sz val="8"/>
        <color theme="1"/>
        <rFont val="Calibri"/>
        <family val="2"/>
        <scheme val="minor"/>
      </rPr>
      <t xml:space="preserve"> </t>
    </r>
    <r>
      <rPr>
        <b/>
        <sz val="10"/>
        <color theme="1"/>
        <rFont val="Calibri"/>
        <family val="2"/>
        <scheme val="minor"/>
      </rPr>
      <t>N:</t>
    </r>
    <r>
      <rPr>
        <sz val="8"/>
        <color theme="1"/>
        <rFont val="Calibri"/>
        <family val="2"/>
        <scheme val="minor"/>
      </rPr>
      <t xml:space="preserve"> 
(must be equal or higher than the highest fixed period</t>
    </r>
    <r>
      <rPr>
        <b/>
        <sz val="8"/>
        <color theme="1"/>
        <rFont val="Calibri"/>
        <family val="2"/>
        <scheme val="minor"/>
      </rPr>
      <t>[a]</t>
    </r>
    <r>
      <rPr>
        <sz val="8"/>
        <color theme="1"/>
        <rFont val="Calibri"/>
        <family val="2"/>
        <scheme val="minor"/>
      </rPr>
      <t>)</t>
    </r>
  </si>
  <si>
    <t>Interest Rates</t>
  </si>
  <si>
    <t>Estimated Interest payable</t>
  </si>
  <si>
    <t>Fees Payable Estimate</t>
  </si>
  <si>
    <t>Total fees and interest @N year estimate
(Fixed + Variable)</t>
  </si>
  <si>
    <r>
      <t xml:space="preserve">Fixed period </t>
    </r>
    <r>
      <rPr>
        <b/>
        <vertAlign val="superscript"/>
        <sz val="11"/>
        <color theme="1"/>
        <rFont val="Calibri"/>
        <family val="2"/>
        <scheme val="minor"/>
      </rPr>
      <t>[a]</t>
    </r>
  </si>
  <si>
    <t>Fixed Interest Rate</t>
  </si>
  <si>
    <t>Variable Interest Rate</t>
  </si>
  <si>
    <t>Per annum</t>
  </si>
  <si>
    <r>
      <t>For fixed period</t>
    </r>
    <r>
      <rPr>
        <b/>
        <vertAlign val="superscript"/>
        <sz val="10"/>
        <color theme="1"/>
        <rFont val="Calibri"/>
        <family val="2"/>
        <scheme val="minor"/>
      </rPr>
      <t xml:space="preserve"> [a]</t>
    </r>
  </si>
  <si>
    <t>Fees per Annum</t>
  </si>
  <si>
    <r>
      <t xml:space="preserve">Fees for Fixed Period </t>
    </r>
    <r>
      <rPr>
        <b/>
        <vertAlign val="superscript"/>
        <sz val="9"/>
        <color theme="1"/>
        <rFont val="Calibri"/>
        <family val="2"/>
        <scheme val="minor"/>
      </rPr>
      <t>[a]</t>
    </r>
  </si>
  <si>
    <t>St George</t>
  </si>
  <si>
    <t>Bankwest</t>
  </si>
  <si>
    <t>PSVCT</t>
  </si>
  <si>
    <t>Heritage Bank</t>
  </si>
  <si>
    <t>Pepper</t>
  </si>
  <si>
    <t>RESI</t>
  </si>
  <si>
    <t>Resimac</t>
  </si>
  <si>
    <t xml:space="preserve">St. George </t>
  </si>
  <si>
    <t>Bank of SA</t>
  </si>
  <si>
    <t>Bank of Melbourne</t>
  </si>
  <si>
    <t>Vow Macquarie</t>
  </si>
  <si>
    <t>Adelaid Bank (Smart Suite Commercial)</t>
  </si>
  <si>
    <t>AFM Commercial</t>
  </si>
  <si>
    <t>AFM Leasing</t>
  </si>
  <si>
    <t>ALI (Australian Life Insurance)</t>
  </si>
  <si>
    <t>Allianz Insurance</t>
  </si>
  <si>
    <t>Allianz Life</t>
  </si>
  <si>
    <t xml:space="preserve">ANZ Commercial </t>
  </si>
  <si>
    <t>ANZ Personal Loans</t>
  </si>
  <si>
    <t>Bankwest Business &amp; Commercial</t>
  </si>
  <si>
    <t>St. George</t>
  </si>
  <si>
    <t>Bibby Financial</t>
  </si>
  <si>
    <t>Blue Wealth Property</t>
  </si>
  <si>
    <t>Bluestone</t>
  </si>
  <si>
    <t>CBL/Deposit Power</t>
  </si>
  <si>
    <t>Commonwealth Bank - Commercial CONNECT Program</t>
  </si>
  <si>
    <t>Commonwealth Bank - CONNECT Referral Commission Program</t>
  </si>
  <si>
    <t>Commonwealth Bank / Colonial Commercial</t>
  </si>
  <si>
    <t>Deposit Underwriters</t>
  </si>
  <si>
    <t>Firstmac</t>
  </si>
  <si>
    <t>GE Money Personal Loans</t>
  </si>
  <si>
    <t>Homeloans Ltd</t>
  </si>
  <si>
    <t>Homeside / NABBroker Allianz Insurance</t>
  </si>
  <si>
    <t>Keystart Loans</t>
  </si>
  <si>
    <t>LaTrobe Financial</t>
  </si>
  <si>
    <t>Liberty Asset Finance - DRIVE</t>
  </si>
  <si>
    <t>Liberty Commercial</t>
  </si>
  <si>
    <t>Liberty Home Loans</t>
  </si>
  <si>
    <t>Loans Today</t>
  </si>
  <si>
    <t>Macquarie Leasing</t>
  </si>
  <si>
    <t>Macquarie Mortgages</t>
  </si>
  <si>
    <t>Macquarie Vehicle Select</t>
  </si>
  <si>
    <t>Merchant Mortgages</t>
  </si>
  <si>
    <t>Mortgage Ezy</t>
  </si>
  <si>
    <t>NAB Business Lending</t>
  </si>
  <si>
    <t>One26</t>
  </si>
  <si>
    <t>OzForex Pty Ltd</t>
  </si>
  <si>
    <t>Paramount</t>
  </si>
  <si>
    <t>Pioneer</t>
  </si>
  <si>
    <t>Police &amp; Nurses Credit Society</t>
  </si>
  <si>
    <t>Resicom</t>
  </si>
  <si>
    <t>St George Bank Commercial</t>
  </si>
  <si>
    <t>Suncorp Commercial &amp; Agribusiness</t>
  </si>
  <si>
    <t>Teachers Mutual Bank</t>
  </si>
  <si>
    <t>The Rock</t>
  </si>
  <si>
    <t>Thinktank</t>
  </si>
  <si>
    <t>Victorian Mortgage Mgt Group</t>
  </si>
  <si>
    <t>Vow Home Loans (Options Rage - Pepper)</t>
  </si>
  <si>
    <t>Vow Wealth Management</t>
  </si>
  <si>
    <t>Westpac Commercial</t>
  </si>
  <si>
    <t>Westpac Equipment Finance</t>
  </si>
  <si>
    <t>Wide Bay Australia</t>
  </si>
  <si>
    <t>Priority</t>
  </si>
  <si>
    <t>Lenders</t>
  </si>
  <si>
    <t>Adelaid Bank</t>
  </si>
  <si>
    <t>Commonwealth Bank / Colonial</t>
  </si>
  <si>
    <t>ING Direct &amp; ING Commercial</t>
  </si>
  <si>
    <t>ME</t>
  </si>
  <si>
    <t>NAB Broker (residential) - Previously known as Homeside</t>
  </si>
  <si>
    <t>Pepper Home Loans</t>
  </si>
  <si>
    <t>RESI Mortgage Corporation</t>
  </si>
  <si>
    <t>Resimac Financial Services Specialist Lending</t>
  </si>
  <si>
    <t>Suncorp Residential &amp; Small Business</t>
  </si>
  <si>
    <t>Vow Home Loans (Empower Range - Macquarie Bank)</t>
  </si>
  <si>
    <t>Annual Interest</t>
  </si>
  <si>
    <t>Expiry Dates</t>
  </si>
  <si>
    <t>Exit Fees</t>
  </si>
  <si>
    <t>Entry Fees</t>
  </si>
  <si>
    <t>Benefit Analysis</t>
  </si>
  <si>
    <t>Current Interest</t>
  </si>
  <si>
    <t>Proposed Interest</t>
  </si>
  <si>
    <t>Less Refinance Cost</t>
  </si>
  <si>
    <t>Savings in Year 1</t>
  </si>
  <si>
    <t>Discharge</t>
  </si>
  <si>
    <t>Fix Break</t>
  </si>
  <si>
    <t>Exit &amp; Entry Fee</t>
  </si>
  <si>
    <t>Govt Fee</t>
  </si>
  <si>
    <t>Govt Rego</t>
  </si>
  <si>
    <t>Application Fees</t>
  </si>
  <si>
    <t>Application</t>
  </si>
  <si>
    <t>Annual Fee</t>
  </si>
  <si>
    <t>Total Refinance Costs</t>
  </si>
  <si>
    <t>Savings in Year 2</t>
  </si>
  <si>
    <t>Savings in Year 3+</t>
  </si>
  <si>
    <t>Lender Rebate Available*</t>
  </si>
  <si>
    <t>Funding Report</t>
  </si>
  <si>
    <t>Premium Broker Pty Limited ACN 40 105 746 692 (Australian Credit Licence 392625)</t>
  </si>
  <si>
    <t>Premium Broker Network</t>
  </si>
  <si>
    <t>Accountant</t>
  </si>
  <si>
    <t>Compliance</t>
  </si>
  <si>
    <t>Lending Principles:</t>
  </si>
  <si>
    <t>Advice</t>
  </si>
  <si>
    <t>Loan Preferences:</t>
  </si>
  <si>
    <t>Loan Processing</t>
  </si>
  <si>
    <t>Veda Search sent to the client (Check Privacy Disclosure is signed)</t>
  </si>
  <si>
    <t>File Notes &amp; Meetings held electronically on Brokerpad, CRM &amp; Pipedrive</t>
  </si>
  <si>
    <t>P&amp;I applied to Other Loan</t>
  </si>
  <si>
    <t>Maximise Cashflow</t>
  </si>
  <si>
    <t>Maximise Taxation</t>
  </si>
  <si>
    <t>Maximise Cashflow Temp</t>
  </si>
  <si>
    <t>P&amp;I applied to Personal Loan 1st</t>
  </si>
  <si>
    <t>P&amp;I applied to Other Loan 1st</t>
  </si>
  <si>
    <t>P&amp;I applied to Offset &amp; Redraw</t>
  </si>
  <si>
    <t>Select Why Interest Only is Required</t>
  </si>
  <si>
    <t>Reduce Rate</t>
  </si>
  <si>
    <t>Reduce Instalmt</t>
  </si>
  <si>
    <t>Reduce Fees</t>
  </si>
  <si>
    <t>Wealth Creation</t>
  </si>
  <si>
    <t>Lifestyle</t>
  </si>
  <si>
    <t>New Offset</t>
  </si>
  <si>
    <t>New Feature</t>
  </si>
  <si>
    <t>Select your reason here</t>
  </si>
  <si>
    <t xml:space="preserve">Discussed Fix Rates Break Costs </t>
  </si>
  <si>
    <t>Increase Debt</t>
  </si>
  <si>
    <t>Reduce Debt</t>
  </si>
  <si>
    <r>
      <t>Identification</t>
    </r>
    <r>
      <rPr>
        <sz val="12"/>
        <color theme="1" tint="0.34998626667073579"/>
        <rFont val="Calibri"/>
        <family val="2"/>
        <scheme val="minor"/>
      </rPr>
      <t xml:space="preserve"> (AML/CTF Obligations)</t>
    </r>
  </si>
  <si>
    <t>By what means</t>
  </si>
  <si>
    <t>By what means?</t>
  </si>
  <si>
    <t>Personal Friend</t>
  </si>
  <si>
    <t>Family Member</t>
  </si>
  <si>
    <t>Existing Client</t>
  </si>
  <si>
    <t>Referred - Referrer</t>
  </si>
  <si>
    <t>Referred - Friend</t>
  </si>
  <si>
    <t>Referred - Colleague</t>
  </si>
  <si>
    <t>CARE - If you have never met the client before - please be vigilant in identifying them</t>
  </si>
  <si>
    <r>
      <rPr>
        <sz val="11"/>
        <color rgb="FFFF0000"/>
        <rFont val="Calibri"/>
        <family val="2"/>
        <scheme val="minor"/>
      </rPr>
      <t>*</t>
    </r>
    <r>
      <rPr>
        <sz val="11"/>
        <color theme="0" tint="-0.34998626667073579"/>
        <rFont val="Calibri"/>
        <family val="2"/>
        <scheme val="minor"/>
      </rPr>
      <t xml:space="preserve">COMPLIANCE - Loan Recommendation &amp; Preliminary Assessment </t>
    </r>
  </si>
  <si>
    <r>
      <rPr>
        <sz val="11"/>
        <color rgb="FFFF0000"/>
        <rFont val="Calibri"/>
        <family val="2"/>
        <scheme val="minor"/>
      </rPr>
      <t>*</t>
    </r>
    <r>
      <rPr>
        <sz val="11"/>
        <color theme="0" tint="-0.34998626667073579"/>
        <rFont val="Calibri"/>
        <family val="2"/>
        <scheme val="minor"/>
      </rPr>
      <t>I had a face to face meeting with all borrowers</t>
    </r>
  </si>
  <si>
    <r>
      <rPr>
        <sz val="11"/>
        <color rgb="FFFF0000"/>
        <rFont val="Calibri"/>
        <family val="2"/>
        <scheme val="minor"/>
      </rPr>
      <t>*</t>
    </r>
    <r>
      <rPr>
        <sz val="11"/>
        <color theme="0" tint="-0.34998626667073579"/>
        <rFont val="Calibri"/>
        <family val="2"/>
        <scheme val="minor"/>
      </rPr>
      <t>I have obtained 100 points of ID, sufficent to meet the lenders requirements</t>
    </r>
  </si>
  <si>
    <t>New Client- Website</t>
  </si>
  <si>
    <t>New Client - Advertising</t>
  </si>
  <si>
    <t>Never Client - Other</t>
  </si>
  <si>
    <t>CARE - Loan Recommendation Doc to include 1.Funding 2.Servicing 3.Comparisons</t>
  </si>
  <si>
    <r>
      <rPr>
        <sz val="11"/>
        <color rgb="FFFF0000"/>
        <rFont val="Calibri"/>
        <family val="2"/>
        <scheme val="minor"/>
      </rPr>
      <t>*</t>
    </r>
    <r>
      <rPr>
        <sz val="11"/>
        <color theme="0" tint="-0.34998626667073579"/>
        <rFont val="Calibri"/>
        <family val="2"/>
        <scheme val="minor"/>
      </rPr>
      <t>COMPLIANCE - Credit Guide &amp; Privacy - signed</t>
    </r>
  </si>
  <si>
    <t>Refinance Benefit Analysis completed - provided to client</t>
  </si>
  <si>
    <t>Kevin POH</t>
  </si>
  <si>
    <t>Has the borrower received independent LEGAL advice regarding this credit?</t>
  </si>
  <si>
    <t>Would you like Premium Broker to refer you to an Accountant/Planner</t>
  </si>
  <si>
    <t>Would you like Premium Broker to refer you to a Solicitor/Conveyancer</t>
  </si>
  <si>
    <t>Would you like Premium Broker to refer you to a Solicitor?</t>
  </si>
  <si>
    <t>Have you spoken to your FINANCIAL PLANNER regarding loan protection?</t>
  </si>
  <si>
    <t>Have you spoken to an INSURANCE COMPANY regarding loan protection?</t>
  </si>
  <si>
    <t>Have you spoken to your ACCOUNTANT regarding this loan?</t>
  </si>
  <si>
    <t>Have you spoken to your FINANCIAL PLANNER regarding this loan?</t>
  </si>
  <si>
    <t>Have you spoken to another LENDER/BROKER regarding this loan?</t>
  </si>
  <si>
    <t>Legal Advice</t>
  </si>
  <si>
    <t>Financial Advice</t>
  </si>
  <si>
    <t>Have you ever had any financial or legal proceedings against you?</t>
  </si>
  <si>
    <t>If “yes” have you contacted your lender to clear any arrears?</t>
  </si>
  <si>
    <t>Current Will</t>
  </si>
  <si>
    <t>Clients Goals:</t>
  </si>
  <si>
    <t>Short Term Goals (1-5 Years)</t>
  </si>
  <si>
    <t>Long Term Goals (15-30 Years)</t>
  </si>
  <si>
    <t>Medium Term Goals (5-15 Years)</t>
  </si>
  <si>
    <t>Retirement</t>
  </si>
  <si>
    <t>Retirement Age</t>
  </si>
  <si>
    <t>Interest Only &amp; then Principal &amp; Interest</t>
  </si>
  <si>
    <t>How will you repay the debt?</t>
  </si>
  <si>
    <t>Principal &amp; Interest</t>
  </si>
  <si>
    <t>Interest Only - with principal into offset/redraw</t>
  </si>
  <si>
    <t>Sell Shares</t>
  </si>
  <si>
    <t>Sell Property</t>
  </si>
  <si>
    <t>Inheritance</t>
  </si>
  <si>
    <t>Downsize Sell and buy a cheaper property</t>
  </si>
  <si>
    <t>within</t>
  </si>
  <si>
    <t>Interest Only - then repay debt</t>
  </si>
  <si>
    <t>a)</t>
  </si>
  <si>
    <t>b)</t>
  </si>
  <si>
    <t>A quick tool to outline your current goals. This will help us with our recommendations to you.</t>
  </si>
  <si>
    <t>How will you repay debt before retirement?</t>
  </si>
  <si>
    <r>
      <rPr>
        <sz val="11"/>
        <color rgb="FFFF0000"/>
        <rFont val="Calibri"/>
        <family val="2"/>
        <scheme val="minor"/>
      </rPr>
      <t>*</t>
    </r>
    <r>
      <rPr>
        <sz val="11"/>
        <color theme="0" tint="-0.34998626667073579"/>
        <rFont val="Calibri"/>
        <family val="2"/>
        <scheme val="minor"/>
      </rPr>
      <t>Calculator - Premium Broker</t>
    </r>
  </si>
  <si>
    <t>Most Recent HECS/HELP Statement</t>
  </si>
  <si>
    <t>LOANS - Margin</t>
  </si>
  <si>
    <t>Servicing</t>
  </si>
  <si>
    <t>Other Income (after tax):</t>
  </si>
  <si>
    <t>Assessed</t>
  </si>
  <si>
    <t>Credit Cards Limits</t>
  </si>
  <si>
    <t>Rent Expenses</t>
  </si>
  <si>
    <t>Premium Broker Servicing:</t>
  </si>
  <si>
    <t xml:space="preserve">* The Premium Broker Calculator is a conservative assessment. Only proceed to Lenders Servicing if the result is a PASS. </t>
  </si>
  <si>
    <t>* Proceeding to a lender may be a breach of Premium Broker's Compliance.</t>
  </si>
  <si>
    <r>
      <t xml:space="preserve">RealEstate </t>
    </r>
    <r>
      <rPr>
        <sz val="10"/>
        <color theme="1" tint="0.499984740745262"/>
        <rFont val="Arial"/>
        <family val="2"/>
      </rPr>
      <t>♥</t>
    </r>
  </si>
  <si>
    <t>Margin Loans</t>
  </si>
  <si>
    <t>Investment Income</t>
  </si>
  <si>
    <t>Income - Salary</t>
  </si>
  <si>
    <t>Income - Rental</t>
  </si>
  <si>
    <t>Income - Other</t>
  </si>
  <si>
    <t>Expenses - New</t>
  </si>
  <si>
    <t>Expenses - Existing</t>
  </si>
  <si>
    <r>
      <rPr>
        <sz val="7"/>
        <color rgb="FFFF0000"/>
        <rFont val="Calibri"/>
        <family val="2"/>
        <scheme val="minor"/>
      </rPr>
      <t>CARE -</t>
    </r>
    <r>
      <rPr>
        <sz val="7"/>
        <rFont val="Calibri"/>
        <family val="2"/>
        <scheme val="minor"/>
      </rPr>
      <t xml:space="preserve"> If you do </t>
    </r>
    <r>
      <rPr>
        <u/>
        <sz val="7"/>
        <rFont val="Calibri"/>
        <family val="2"/>
        <scheme val="minor"/>
      </rPr>
      <t>not</t>
    </r>
    <r>
      <rPr>
        <sz val="7"/>
        <rFont val="Calibri"/>
        <family val="2"/>
        <scheme val="minor"/>
      </rPr>
      <t xml:space="preserve"> have a will, the court will appoint an administrator &amp; there is no guarantee that your family's needs are met according to your wishes</t>
    </r>
  </si>
  <si>
    <r>
      <rPr>
        <sz val="7"/>
        <color rgb="FFFF0000"/>
        <rFont val="Calibri"/>
        <family val="2"/>
        <scheme val="minor"/>
      </rPr>
      <t xml:space="preserve">CARE - </t>
    </r>
    <r>
      <rPr>
        <sz val="7"/>
        <rFont val="Calibri"/>
        <family val="2"/>
        <scheme val="minor"/>
      </rPr>
      <t>If you are taking on more debt you need to make sure you have enough income if you are sick or have an accident</t>
    </r>
  </si>
  <si>
    <t>Retirement Date / Time</t>
  </si>
  <si>
    <t>Third Parties:</t>
  </si>
  <si>
    <t>Mobile</t>
  </si>
  <si>
    <t>Solicitor</t>
  </si>
  <si>
    <t>Financial Planner</t>
  </si>
  <si>
    <t>Solicitor/Conveyancer</t>
  </si>
  <si>
    <t>Expenses - Living</t>
  </si>
  <si>
    <t>Lenders Borrowing Capacity</t>
  </si>
  <si>
    <t>National</t>
  </si>
  <si>
    <t>Including Rent</t>
  </si>
  <si>
    <t>Brokerpad Check</t>
  </si>
  <si>
    <t>Product Name</t>
  </si>
  <si>
    <t>Repayments - Loan Splits</t>
  </si>
  <si>
    <t>Var/Fixed</t>
  </si>
  <si>
    <t>IO/P&amp;I</t>
  </si>
  <si>
    <t>Interest in Advance</t>
  </si>
  <si>
    <t>1 yr Fixed</t>
  </si>
  <si>
    <t>2 yrs Fixed</t>
  </si>
  <si>
    <t>3 yrs Fixed</t>
  </si>
  <si>
    <t>4 yrs Fixed</t>
  </si>
  <si>
    <t>5 yrs Fixed</t>
  </si>
  <si>
    <t>Settlement Date</t>
  </si>
  <si>
    <t>Exchanged</t>
  </si>
  <si>
    <t>Employer Contact</t>
  </si>
  <si>
    <t xml:space="preserve">Ph: </t>
  </si>
  <si>
    <t>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</si>
</sst>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Red]\-&quot;$&quot;#,##0"/>
    <numFmt numFmtId="8" formatCode="&quot;$&quot;#,##0.00;[Red]\-&quot;$&quot;#,##0.00"/>
    <numFmt numFmtId="44" formatCode="_-&quot;$&quot;* #,##0.00_-;\-&quot;$&quot;* #,##0.00_-;_-&quot;$&quot;* &quot;-&quot;??_-;_-@_-"/>
    <numFmt numFmtId="164" formatCode="0.0%"/>
    <numFmt numFmtId="165" formatCode="&quot;0&quot;###\ ###\ ###"/>
    <numFmt numFmtId="166" formatCode="&quot;0&quot;#\ ####\ ####"/>
    <numFmt numFmtId="167" formatCode="&quot;$&quot;#,##0"/>
    <numFmt numFmtId="168" formatCode="&quot;$&quot;#,##0.00"/>
    <numFmt numFmtId="169" formatCode="[$-C09]dd\-mmm\-yy;@"/>
    <numFmt numFmtId="170" formatCode="###0.00;###0.00"/>
    <numFmt numFmtId="171" formatCode="###0;###0"/>
    <numFmt numFmtId="172" formatCode="[$-409]d/mmm/yyyy;@"/>
    <numFmt numFmtId="173" formatCode="_(&quot;$&quot;* #,##0.00_);_(&quot;$&quot;* \(#,##0.00\);_(&quot;$&quot;* &quot;-&quot;??_);_(@_)"/>
    <numFmt numFmtId="174" formatCode="0.000000%"/>
    <numFmt numFmtId="175" formatCode="0.0000%"/>
    <numFmt numFmtId="176" formatCode="mmm\ yyyy;@"/>
  </numFmts>
  <fonts count="205" x14ac:knownFonts="1">
    <font>
      <sz val="11"/>
      <color theme="1"/>
      <name val="Calibri"/>
      <family val="2"/>
      <scheme val="minor"/>
    </font>
    <font>
      <sz val="10"/>
      <color theme="1"/>
      <name val="Calibri"/>
      <family val="2"/>
      <scheme val="minor"/>
    </font>
    <font>
      <sz val="10"/>
      <color rgb="FF6E9400"/>
      <name val="Calibri"/>
      <family val="2"/>
      <scheme val="minor"/>
    </font>
    <font>
      <sz val="8"/>
      <color rgb="FF6E9400"/>
      <name val="Calibri"/>
      <family val="2"/>
      <scheme val="minor"/>
    </font>
    <font>
      <sz val="11"/>
      <color theme="1"/>
      <name val="Calibri"/>
      <family val="2"/>
      <scheme val="minor"/>
    </font>
    <font>
      <b/>
      <sz val="11"/>
      <color theme="1"/>
      <name val="Calibri"/>
      <family val="2"/>
      <scheme val="minor"/>
    </font>
    <font>
      <b/>
      <sz val="24"/>
      <color rgb="FF6E9400"/>
      <name val="Calibri"/>
      <family val="2"/>
      <scheme val="minor"/>
    </font>
    <font>
      <b/>
      <sz val="16"/>
      <color rgb="FF6E9400"/>
      <name val="Calibri"/>
      <family val="2"/>
      <scheme val="minor"/>
    </font>
    <font>
      <b/>
      <sz val="10"/>
      <color rgb="FF000000"/>
      <name val="Calibri"/>
      <family val="2"/>
      <scheme val="minor"/>
    </font>
    <font>
      <sz val="10"/>
      <color rgb="FF000000"/>
      <name val="Calibri"/>
      <family val="2"/>
      <scheme val="minor"/>
    </font>
    <font>
      <b/>
      <sz val="10"/>
      <color theme="1"/>
      <name val="Calibri"/>
      <family val="2"/>
      <scheme val="minor"/>
    </font>
    <font>
      <sz val="8"/>
      <color theme="1"/>
      <name val="Calibri"/>
      <family val="2"/>
      <scheme val="minor"/>
    </font>
    <font>
      <b/>
      <u/>
      <sz val="10"/>
      <color theme="1"/>
      <name val="Calibri"/>
      <family val="2"/>
      <scheme val="minor"/>
    </font>
    <font>
      <sz val="12"/>
      <color rgb="FF6E9400"/>
      <name val="Calibri"/>
      <family val="2"/>
      <scheme val="minor"/>
    </font>
    <font>
      <sz val="11"/>
      <color rgb="FF6E9400"/>
      <name val="Calibri"/>
      <family val="2"/>
      <scheme val="minor"/>
    </font>
    <font>
      <u/>
      <sz val="11"/>
      <color theme="10"/>
      <name val="Calibri"/>
      <family val="2"/>
      <scheme val="minor"/>
    </font>
    <font>
      <sz val="9"/>
      <color theme="9" tint="-0.249977111117893"/>
      <name val="Calibri"/>
      <family val="2"/>
      <scheme val="minor"/>
    </font>
    <font>
      <sz val="8"/>
      <color rgb="FF000000"/>
      <name val="Segoe UI"/>
      <family val="2"/>
    </font>
    <font>
      <sz val="11"/>
      <color theme="9" tint="-0.249977111117893"/>
      <name val="Calibri"/>
      <family val="2"/>
      <scheme val="minor"/>
    </font>
    <font>
      <sz val="8"/>
      <color theme="9" tint="-0.249977111117893"/>
      <name val="Calibri"/>
      <family val="2"/>
      <scheme val="minor"/>
    </font>
    <font>
      <sz val="8"/>
      <color theme="0" tint="-0.499984740745262"/>
      <name val="Calibri"/>
      <family val="2"/>
      <scheme val="minor"/>
    </font>
    <font>
      <b/>
      <sz val="12"/>
      <color rgb="FF6E9400"/>
      <name val="Calibri"/>
      <family val="2"/>
      <scheme val="minor"/>
    </font>
    <font>
      <sz val="10"/>
      <name val="Calibri"/>
      <family val="2"/>
      <scheme val="minor"/>
    </font>
    <font>
      <b/>
      <sz val="12"/>
      <name val="Calibri"/>
      <family val="2"/>
      <scheme val="minor"/>
    </font>
    <font>
      <sz val="18"/>
      <color theme="1"/>
      <name val="Calibri"/>
      <family val="2"/>
      <scheme val="minor"/>
    </font>
    <font>
      <b/>
      <sz val="10"/>
      <color rgb="FF6E9400"/>
      <name val="Calibri"/>
      <family val="2"/>
      <scheme val="minor"/>
    </font>
    <font>
      <u/>
      <sz val="10"/>
      <color theme="10"/>
      <name val="Calibri"/>
      <family val="2"/>
      <scheme val="minor"/>
    </font>
    <font>
      <u/>
      <sz val="10"/>
      <color theme="0" tint="-0.499984740745262"/>
      <name val="Calibri"/>
      <family val="2"/>
      <scheme val="minor"/>
    </font>
    <font>
      <sz val="10"/>
      <color theme="0" tint="-0.499984740745262"/>
      <name val="Calibri"/>
      <family val="2"/>
      <scheme val="minor"/>
    </font>
    <font>
      <sz val="9"/>
      <color theme="0" tint="-0.499984740745262"/>
      <name val="Calibri"/>
      <family val="2"/>
      <scheme val="minor"/>
    </font>
    <font>
      <b/>
      <sz val="16"/>
      <color theme="1"/>
      <name val="Calibri"/>
      <family val="2"/>
      <scheme val="minor"/>
    </font>
    <font>
      <b/>
      <sz val="10"/>
      <color theme="0"/>
      <name val="Calibri"/>
      <family val="2"/>
      <scheme val="minor"/>
    </font>
    <font>
      <b/>
      <sz val="8"/>
      <color theme="0"/>
      <name val="Calibri"/>
      <family val="2"/>
      <scheme val="minor"/>
    </font>
    <font>
      <b/>
      <sz val="16"/>
      <name val="Calibri"/>
      <family val="2"/>
      <scheme val="minor"/>
    </font>
    <font>
      <b/>
      <sz val="12"/>
      <color theme="0"/>
      <name val="Calibri"/>
      <family val="2"/>
      <scheme val="minor"/>
    </font>
    <font>
      <b/>
      <sz val="26"/>
      <color theme="9" tint="-0.249977111117893"/>
      <name val="Calibri"/>
      <family val="2"/>
      <scheme val="minor"/>
    </font>
    <font>
      <sz val="9"/>
      <color theme="1"/>
      <name val="Calibri"/>
      <family val="2"/>
      <scheme val="minor"/>
    </font>
    <font>
      <sz val="10"/>
      <color theme="9" tint="-0.249977111117893"/>
      <name val="Calibri"/>
      <family val="2"/>
      <scheme val="minor"/>
    </font>
    <font>
      <b/>
      <sz val="20"/>
      <color rgb="FF6E9400"/>
      <name val="Calibri"/>
      <family val="2"/>
      <scheme val="minor"/>
    </font>
    <font>
      <sz val="9"/>
      <color rgb="FF333333"/>
      <name val="Arial"/>
      <family val="2"/>
    </font>
    <font>
      <b/>
      <sz val="9"/>
      <color rgb="FF006699"/>
      <name val="Arial"/>
      <family val="2"/>
    </font>
    <font>
      <b/>
      <sz val="9"/>
      <color rgb="FF333333"/>
      <name val="Arial"/>
      <family val="2"/>
    </font>
    <font>
      <sz val="11"/>
      <name val="Calibri"/>
      <family val="2"/>
      <scheme val="minor"/>
    </font>
    <font>
      <sz val="7"/>
      <color theme="1"/>
      <name val="Calibri"/>
      <family val="2"/>
      <scheme val="minor"/>
    </font>
    <font>
      <sz val="10"/>
      <color rgb="FFFF0000"/>
      <name val="Calibri"/>
      <family val="2"/>
      <scheme val="minor"/>
    </font>
    <font>
      <sz val="14"/>
      <color theme="1"/>
      <name val="Calibri"/>
      <family val="2"/>
      <scheme val="minor"/>
    </font>
    <font>
      <b/>
      <sz val="10"/>
      <name val="Calibri"/>
      <family val="2"/>
      <scheme val="minor"/>
    </font>
    <font>
      <b/>
      <sz val="14"/>
      <color theme="1"/>
      <name val="Calibri"/>
      <family val="2"/>
      <scheme val="minor"/>
    </font>
    <font>
      <sz val="11"/>
      <color theme="0" tint="-0.499984740745262"/>
      <name val="Calibri"/>
      <family val="2"/>
      <scheme val="minor"/>
    </font>
    <font>
      <sz val="9"/>
      <color theme="0" tint="-0.499984740745262"/>
      <name val="Arial"/>
      <family val="2"/>
    </font>
    <font>
      <b/>
      <sz val="9"/>
      <color rgb="FF6E9400"/>
      <name val="Calibri"/>
      <family val="2"/>
      <scheme val="minor"/>
    </font>
    <font>
      <u/>
      <sz val="11"/>
      <name val="Calibri"/>
      <family val="2"/>
      <scheme val="minor"/>
    </font>
    <font>
      <b/>
      <u/>
      <sz val="20"/>
      <color theme="9" tint="-0.249977111117893"/>
      <name val="Calibri"/>
      <family val="2"/>
      <scheme val="minor"/>
    </font>
    <font>
      <b/>
      <u/>
      <sz val="11"/>
      <color theme="1"/>
      <name val="Calibri"/>
      <family val="2"/>
      <scheme val="minor"/>
    </font>
    <font>
      <b/>
      <u/>
      <sz val="10"/>
      <color theme="9" tint="-0.249977111117893"/>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1"/>
      <color theme="6" tint="-0.249977111117893"/>
      <name val="Calibri"/>
      <family val="2"/>
      <scheme val="minor"/>
    </font>
    <font>
      <b/>
      <sz val="11"/>
      <color rgb="FF92D050"/>
      <name val="Calibri"/>
      <family val="2"/>
      <scheme val="minor"/>
    </font>
    <font>
      <b/>
      <sz val="14"/>
      <color theme="1" tint="0.34998626667073579"/>
      <name val="Calibri"/>
      <family val="2"/>
      <scheme val="minor"/>
    </font>
    <font>
      <sz val="8"/>
      <color theme="1" tint="0.34998626667073579"/>
      <name val="Calibri"/>
      <family val="2"/>
      <scheme val="minor"/>
    </font>
    <font>
      <sz val="11"/>
      <color theme="1" tint="0.34998626667073579"/>
      <name val="Calibri"/>
      <family val="2"/>
      <scheme val="minor"/>
    </font>
    <font>
      <sz val="11"/>
      <color theme="1" tint="0.499984740745262"/>
      <name val="Calibri"/>
      <family val="2"/>
      <scheme val="minor"/>
    </font>
    <font>
      <sz val="7"/>
      <color theme="6" tint="-0.249977111117893"/>
      <name val="Calibri"/>
      <family val="2"/>
      <scheme val="minor"/>
    </font>
    <font>
      <sz val="11"/>
      <color theme="6" tint="-0.249977111117893"/>
      <name val="Calibri"/>
      <family val="2"/>
      <scheme val="minor"/>
    </font>
    <font>
      <b/>
      <sz val="11"/>
      <color theme="1" tint="0.34998626667073579"/>
      <name val="Calibri"/>
      <family val="2"/>
      <scheme val="minor"/>
    </font>
    <font>
      <sz val="9"/>
      <color indexed="81"/>
      <name val="Tahoma"/>
      <family val="2"/>
    </font>
    <font>
      <sz val="8"/>
      <color rgb="FF92D050"/>
      <name val="Calibri"/>
      <family val="2"/>
      <scheme val="minor"/>
    </font>
    <font>
      <sz val="10"/>
      <color theme="1" tint="0.499984740745262"/>
      <name val="Calibri"/>
      <family val="2"/>
      <scheme val="minor"/>
    </font>
    <font>
      <b/>
      <sz val="10"/>
      <color rgb="FFFF0000"/>
      <name val="Calibri"/>
      <family val="2"/>
      <scheme val="minor"/>
    </font>
    <font>
      <sz val="10"/>
      <color rgb="FF78B832"/>
      <name val="Calibri"/>
      <family val="2"/>
      <scheme val="minor"/>
    </font>
    <font>
      <u/>
      <sz val="11"/>
      <color theme="1"/>
      <name val="Calibri"/>
      <family val="2"/>
      <scheme val="minor"/>
    </font>
    <font>
      <sz val="11"/>
      <color theme="5" tint="-0.249977111117893"/>
      <name val="Calibri"/>
      <family val="2"/>
      <scheme val="minor"/>
    </font>
    <font>
      <b/>
      <sz val="8"/>
      <color theme="1"/>
      <name val="Calibri"/>
      <family val="2"/>
      <scheme val="minor"/>
    </font>
    <font>
      <sz val="8"/>
      <color theme="5" tint="-0.249977111117893"/>
      <name val="Calibri"/>
      <family val="2"/>
      <scheme val="minor"/>
    </font>
    <font>
      <sz val="20"/>
      <color theme="1"/>
      <name val="Calibri"/>
      <family val="2"/>
      <scheme val="minor"/>
    </font>
    <font>
      <b/>
      <sz val="8"/>
      <name val="Calibri"/>
      <family val="2"/>
      <scheme val="minor"/>
    </font>
    <font>
      <sz val="10"/>
      <color theme="8" tint="-0.249977111117893"/>
      <name val="Calibri"/>
      <family val="2"/>
      <scheme val="minor"/>
    </font>
    <font>
      <b/>
      <sz val="10"/>
      <color theme="8" tint="-0.249977111117893"/>
      <name val="Calibri"/>
      <family val="2"/>
      <scheme val="minor"/>
    </font>
    <font>
      <b/>
      <sz val="16"/>
      <color theme="8" tint="-0.249977111117893"/>
      <name val="Calibri"/>
      <family val="2"/>
      <scheme val="minor"/>
    </font>
    <font>
      <b/>
      <sz val="11"/>
      <name val="Calibri"/>
      <family val="2"/>
      <scheme val="minor"/>
    </font>
    <font>
      <sz val="26"/>
      <name val="Lucida Sans Unicode"/>
      <family val="2"/>
    </font>
    <font>
      <sz val="26"/>
      <color rgb="FF0053A1"/>
      <name val="Lucida Sans Unicode"/>
      <family val="2"/>
    </font>
    <font>
      <sz val="10"/>
      <name val="Lucida Sans Unicode"/>
      <family val="2"/>
    </font>
    <font>
      <b/>
      <sz val="11"/>
      <name val="Calibri"/>
      <family val="2"/>
    </font>
    <font>
      <b/>
      <sz val="11"/>
      <color rgb="FFFFFFFF"/>
      <name val="Calibri"/>
      <family val="2"/>
    </font>
    <font>
      <sz val="10"/>
      <color rgb="FF0053A1"/>
      <name val="Arial Narrow"/>
      <family val="2"/>
    </font>
    <font>
      <b/>
      <sz val="10"/>
      <color rgb="FF000000"/>
      <name val="Calibri"/>
      <family val="2"/>
    </font>
    <font>
      <b/>
      <sz val="14"/>
      <color theme="0"/>
      <name val="Calibri"/>
      <family val="2"/>
    </font>
    <font>
      <b/>
      <sz val="11"/>
      <color theme="0" tint="-0.499984740745262"/>
      <name val="Calibri"/>
      <family val="2"/>
    </font>
    <font>
      <sz val="12"/>
      <color theme="1"/>
      <name val="Calibri"/>
      <family val="2"/>
      <scheme val="minor"/>
    </font>
    <font>
      <sz val="30"/>
      <color theme="1"/>
      <name val="Calibri"/>
      <family val="2"/>
      <scheme val="minor"/>
    </font>
    <font>
      <sz val="18"/>
      <color theme="0" tint="-0.499984740745262"/>
      <name val="Calibri"/>
      <family val="2"/>
      <scheme val="minor"/>
    </font>
    <font>
      <sz val="12"/>
      <name val="Calibri"/>
      <family val="2"/>
      <scheme val="minor"/>
    </font>
    <font>
      <sz val="12"/>
      <color theme="0" tint="-0.499984740745262"/>
      <name val="Calibri"/>
      <family val="2"/>
      <scheme val="minor"/>
    </font>
    <font>
      <b/>
      <u/>
      <sz val="20"/>
      <color theme="8" tint="-0.499984740745262"/>
      <name val="Calibri"/>
      <family val="2"/>
      <scheme val="minor"/>
    </font>
    <font>
      <sz val="8"/>
      <color theme="8" tint="-0.249977111117893"/>
      <name val="Calibri"/>
      <family val="2"/>
      <scheme val="minor"/>
    </font>
    <font>
      <sz val="11"/>
      <color theme="8" tint="-0.249977111117893"/>
      <name val="Calibri"/>
      <family val="2"/>
      <scheme val="minor"/>
    </font>
    <font>
      <sz val="14"/>
      <color theme="8" tint="-0.249977111117893"/>
      <name val="Calibri"/>
      <family val="2"/>
      <scheme val="minor"/>
    </font>
    <font>
      <b/>
      <u/>
      <sz val="20"/>
      <color theme="8" tint="-0.249977111117893"/>
      <name val="Calibri"/>
      <family val="2"/>
      <scheme val="minor"/>
    </font>
    <font>
      <b/>
      <sz val="16"/>
      <color theme="0"/>
      <name val="Calibri"/>
      <family val="2"/>
      <scheme val="minor"/>
    </font>
    <font>
      <b/>
      <sz val="24"/>
      <color theme="8" tint="-0.249977111117893"/>
      <name val="Calibri"/>
      <family val="2"/>
      <scheme val="minor"/>
    </font>
    <font>
      <sz val="9"/>
      <color rgb="FF6E9400"/>
      <name val="Calibri"/>
      <family val="2"/>
      <scheme val="minor"/>
    </font>
    <font>
      <sz val="9"/>
      <color rgb="FFC00000"/>
      <name val="Calibri"/>
      <family val="2"/>
      <scheme val="minor"/>
    </font>
    <font>
      <b/>
      <sz val="9"/>
      <color theme="0"/>
      <name val="Calibri"/>
      <family val="2"/>
      <scheme val="minor"/>
    </font>
    <font>
      <sz val="10"/>
      <color indexed="22"/>
      <name val="Arial"/>
      <family val="2"/>
    </font>
    <font>
      <sz val="10"/>
      <color indexed="8"/>
      <name val="Arial"/>
      <family val="2"/>
    </font>
    <font>
      <u/>
      <sz val="9"/>
      <color theme="0" tint="-0.499984740745262"/>
      <name val="Calibri"/>
      <family val="2"/>
      <scheme val="minor"/>
    </font>
    <font>
      <b/>
      <sz val="10"/>
      <color theme="0" tint="-0.499984740745262"/>
      <name val="Calibri"/>
      <family val="2"/>
      <scheme val="minor"/>
    </font>
    <font>
      <b/>
      <u/>
      <sz val="10"/>
      <color theme="8" tint="-0.249977111117893"/>
      <name val="Calibri"/>
      <family val="2"/>
      <scheme val="minor"/>
    </font>
    <font>
      <sz val="10"/>
      <color theme="6" tint="-0.499984740745262"/>
      <name val="Calibri"/>
      <family val="2"/>
      <scheme val="minor"/>
    </font>
    <font>
      <sz val="26"/>
      <color theme="1"/>
      <name val="Calibri"/>
      <family val="2"/>
      <scheme val="minor"/>
    </font>
    <font>
      <sz val="8"/>
      <name val="Calibri"/>
      <family val="2"/>
      <scheme val="minor"/>
    </font>
    <font>
      <b/>
      <sz val="10"/>
      <color theme="1" tint="0.499984740745262"/>
      <name val="Calibri"/>
      <family val="2"/>
      <scheme val="minor"/>
    </font>
    <font>
      <sz val="9"/>
      <color theme="1" tint="0.499984740745262"/>
      <name val="Calibri"/>
      <family val="2"/>
      <scheme val="minor"/>
    </font>
    <font>
      <sz val="8"/>
      <color theme="0" tint="-0.499984740745262"/>
      <name val="Webdings"/>
      <family val="1"/>
      <charset val="2"/>
    </font>
    <font>
      <sz val="12"/>
      <color theme="1" tint="0.499984740745262"/>
      <name val="Calibri"/>
      <family val="2"/>
      <scheme val="minor"/>
    </font>
    <font>
      <sz val="8"/>
      <color theme="1" tint="0.499984740745262"/>
      <name val="Calibri"/>
      <family val="2"/>
      <scheme val="minor"/>
    </font>
    <font>
      <b/>
      <sz val="24"/>
      <color theme="1" tint="0.499984740745262"/>
      <name val="Calibri"/>
      <family val="2"/>
      <scheme val="minor"/>
    </font>
    <font>
      <b/>
      <sz val="12"/>
      <color theme="1" tint="0.499984740745262"/>
      <name val="Calibri"/>
      <family val="2"/>
      <scheme val="minor"/>
    </font>
    <font>
      <sz val="12"/>
      <color theme="1" tint="0.499984740745262"/>
      <name val="Arial"/>
      <family val="2"/>
    </font>
    <font>
      <b/>
      <sz val="14"/>
      <color theme="1" tint="0.499984740745262"/>
      <name val="Webdings"/>
      <family val="1"/>
      <charset val="2"/>
    </font>
    <font>
      <sz val="10"/>
      <color theme="1" tint="0.499984740745262"/>
      <name val="Webdings"/>
      <family val="1"/>
      <charset val="2"/>
    </font>
    <font>
      <sz val="20"/>
      <color theme="1" tint="0.34998626667073579"/>
      <name val="Calibri"/>
      <family val="2"/>
      <scheme val="minor"/>
    </font>
    <font>
      <sz val="18"/>
      <color theme="1" tint="0.34998626667073579"/>
      <name val="Calibri"/>
      <family val="2"/>
      <scheme val="minor"/>
    </font>
    <font>
      <b/>
      <u/>
      <sz val="8"/>
      <color theme="8" tint="-0.249977111117893"/>
      <name val="Calibri"/>
      <family val="2"/>
      <scheme val="minor"/>
    </font>
    <font>
      <b/>
      <sz val="8"/>
      <color rgb="FF6E9400"/>
      <name val="Calibri"/>
      <family val="2"/>
      <scheme val="minor"/>
    </font>
    <font>
      <sz val="10"/>
      <color theme="4" tint="-0.249977111117893"/>
      <name val="Calibri"/>
      <family val="2"/>
      <scheme val="minor"/>
    </font>
    <font>
      <b/>
      <sz val="12"/>
      <color theme="1" tint="0.34998626667073579"/>
      <name val="Calibri"/>
      <family val="2"/>
      <scheme val="minor"/>
    </font>
    <font>
      <u/>
      <sz val="8"/>
      <color theme="1" tint="0.499984740745262"/>
      <name val="Calibri"/>
      <family val="2"/>
      <scheme val="minor"/>
    </font>
    <font>
      <b/>
      <u/>
      <sz val="26"/>
      <color theme="8" tint="-0.249977111117893"/>
      <name val="Calibri"/>
      <family val="2"/>
      <scheme val="minor"/>
    </font>
    <font>
      <sz val="14"/>
      <color theme="1" tint="0.499984740745262"/>
      <name val="Calibri"/>
      <family val="2"/>
      <scheme val="minor"/>
    </font>
    <font>
      <sz val="26"/>
      <color theme="1"/>
      <name val="Segoe UI"/>
      <family val="2"/>
    </font>
    <font>
      <u/>
      <sz val="8"/>
      <color theme="10"/>
      <name val="Calibri"/>
      <family val="2"/>
      <scheme val="minor"/>
    </font>
    <font>
      <sz val="11"/>
      <color theme="1" tint="0.249977111117893"/>
      <name val="Calibri"/>
      <family val="2"/>
      <scheme val="minor"/>
    </font>
    <font>
      <b/>
      <sz val="8"/>
      <color theme="0" tint="-0.499984740745262"/>
      <name val="Calibri"/>
      <family val="2"/>
      <scheme val="minor"/>
    </font>
    <font>
      <sz val="7"/>
      <color theme="0" tint="-0.499984740745262"/>
      <name val="Calibri"/>
      <family val="2"/>
      <scheme val="minor"/>
    </font>
    <font>
      <u/>
      <sz val="9"/>
      <color theme="1"/>
      <name val="Calibri"/>
      <family val="2"/>
      <scheme val="minor"/>
    </font>
    <font>
      <b/>
      <sz val="16"/>
      <color theme="1" tint="0.499984740745262"/>
      <name val="Calibri"/>
      <family val="2"/>
      <scheme val="minor"/>
    </font>
    <font>
      <sz val="20"/>
      <color theme="0" tint="-0.499984740745262"/>
      <name val="Calibri"/>
      <family val="2"/>
      <scheme val="minor"/>
    </font>
    <font>
      <sz val="16"/>
      <name val="Calibri"/>
      <family val="2"/>
      <scheme val="minor"/>
    </font>
    <font>
      <sz val="24"/>
      <name val="Segoe UI"/>
      <family val="2"/>
    </font>
    <font>
      <sz val="9"/>
      <color theme="1" tint="0.499984740745262"/>
      <name val="Arial"/>
      <family val="2"/>
    </font>
    <font>
      <sz val="10"/>
      <color theme="0" tint="-4.9989318521683403E-2"/>
      <name val="Calibri"/>
      <family val="2"/>
      <scheme val="minor"/>
    </font>
    <font>
      <b/>
      <sz val="24"/>
      <name val="Calibri"/>
      <family val="2"/>
      <scheme val="minor"/>
    </font>
    <font>
      <sz val="9"/>
      <color rgb="FFFF0000"/>
      <name val="Calibri"/>
      <family val="2"/>
      <scheme val="minor"/>
    </font>
    <font>
      <b/>
      <sz val="12"/>
      <color theme="1"/>
      <name val="Calibri"/>
      <family val="2"/>
      <scheme val="minor"/>
    </font>
    <font>
      <sz val="12"/>
      <color theme="2" tint="-0.499984740745262"/>
      <name val="Wingdings"/>
      <charset val="2"/>
    </font>
    <font>
      <u/>
      <sz val="9"/>
      <color theme="10"/>
      <name val="Calibri"/>
      <family val="2"/>
      <scheme val="minor"/>
    </font>
    <font>
      <b/>
      <sz val="10"/>
      <color theme="4" tint="-0.249977111117893"/>
      <name val="Calibri"/>
      <family val="2"/>
      <scheme val="minor"/>
    </font>
    <font>
      <sz val="11"/>
      <color theme="0" tint="-0.34998626667073579"/>
      <name val="Calibri"/>
      <family val="2"/>
      <scheme val="minor"/>
    </font>
    <font>
      <sz val="14"/>
      <name val="Segoe UI"/>
      <family val="2"/>
    </font>
    <font>
      <sz val="10"/>
      <name val="Segoe UI"/>
      <family val="2"/>
    </font>
    <font>
      <sz val="12"/>
      <color theme="9" tint="-0.249977111117893"/>
      <name val="Calibri"/>
      <family val="2"/>
      <scheme val="minor"/>
    </font>
    <font>
      <sz val="2"/>
      <color theme="1"/>
      <name val="Calibri"/>
      <family val="2"/>
      <scheme val="minor"/>
    </font>
    <font>
      <b/>
      <sz val="9"/>
      <color rgb="FFFF0000"/>
      <name val="Calibri"/>
      <family val="2"/>
      <scheme val="minor"/>
    </font>
    <font>
      <b/>
      <u/>
      <sz val="8"/>
      <color theme="1"/>
      <name val="Calibri"/>
      <family val="2"/>
      <scheme val="minor"/>
    </font>
    <font>
      <sz val="10"/>
      <name val="Arial"/>
      <family val="2"/>
    </font>
    <font>
      <b/>
      <sz val="14"/>
      <name val="Calibri"/>
      <family val="2"/>
      <scheme val="minor"/>
    </font>
    <font>
      <sz val="14"/>
      <name val="Calibri"/>
      <family val="2"/>
      <scheme val="minor"/>
    </font>
    <font>
      <sz val="10"/>
      <color theme="0" tint="-0.34998626667073579"/>
      <name val="Calibri"/>
      <family val="2"/>
      <scheme val="minor"/>
    </font>
    <font>
      <sz val="7"/>
      <name val="Calibri"/>
      <family val="2"/>
      <scheme val="minor"/>
    </font>
    <font>
      <u/>
      <sz val="7"/>
      <name val="Calibri"/>
      <family val="2"/>
      <scheme val="minor"/>
    </font>
    <font>
      <sz val="11"/>
      <color theme="0" tint="-0.249977111117893"/>
      <name val="Calibri"/>
      <family val="2"/>
      <scheme val="minor"/>
    </font>
    <font>
      <sz val="10"/>
      <color theme="0"/>
      <name val="Calibri"/>
      <family val="2"/>
      <scheme val="minor"/>
    </font>
    <font>
      <sz val="10"/>
      <color theme="9" tint="0.79998168889431442"/>
      <name val="Calibri"/>
      <family val="2"/>
      <scheme val="minor"/>
    </font>
    <font>
      <u/>
      <sz val="11"/>
      <color rgb="FFFF0000"/>
      <name val="Calibri"/>
      <family val="2"/>
      <scheme val="minor"/>
    </font>
    <font>
      <b/>
      <sz val="16"/>
      <color theme="0"/>
      <name val="Segoe UI"/>
      <family val="2"/>
    </font>
    <font>
      <sz val="18"/>
      <color rgb="FF6E9400"/>
      <name val="Calibri"/>
      <family val="2"/>
      <scheme val="minor"/>
    </font>
    <font>
      <sz val="10"/>
      <color theme="5" tint="-0.249977111117893"/>
      <name val="Calibri"/>
      <family val="2"/>
      <scheme val="minor"/>
    </font>
    <font>
      <sz val="9"/>
      <color theme="0" tint="-0.34998626667073579"/>
      <name val="Calibri"/>
      <family val="2"/>
      <scheme val="minor"/>
    </font>
    <font>
      <sz val="22"/>
      <name val="Segoe UI"/>
      <family val="2"/>
    </font>
    <font>
      <sz val="9"/>
      <color theme="0" tint="-0.249977111117893"/>
      <name val="Calibri"/>
      <family val="2"/>
      <scheme val="minor"/>
    </font>
    <font>
      <sz val="20"/>
      <color theme="1" tint="0.499984740745262"/>
      <name val="Calibri"/>
      <family val="2"/>
      <scheme val="minor"/>
    </font>
    <font>
      <sz val="6"/>
      <color theme="1" tint="0.499984740745262"/>
      <name val="Calibri"/>
      <family val="2"/>
      <scheme val="minor"/>
    </font>
    <font>
      <b/>
      <sz val="9"/>
      <color theme="1"/>
      <name val="Calibri"/>
      <family val="2"/>
      <scheme val="minor"/>
    </font>
    <font>
      <b/>
      <sz val="18"/>
      <color theme="1"/>
      <name val="Calibri"/>
      <family val="2"/>
      <scheme val="minor"/>
    </font>
    <font>
      <i/>
      <sz val="8"/>
      <color theme="0" tint="-0.249977111117893"/>
      <name val="Calibri"/>
      <family val="2"/>
      <scheme val="minor"/>
    </font>
    <font>
      <i/>
      <sz val="9"/>
      <color theme="1"/>
      <name val="Calibri"/>
      <family val="2"/>
      <scheme val="minor"/>
    </font>
    <font>
      <b/>
      <sz val="14"/>
      <color theme="0"/>
      <name val="Calibri"/>
      <family val="2"/>
      <scheme val="minor"/>
    </font>
    <font>
      <b/>
      <vertAlign val="superscript"/>
      <sz val="11"/>
      <color theme="1"/>
      <name val="Calibri"/>
      <family val="2"/>
      <scheme val="minor"/>
    </font>
    <font>
      <b/>
      <vertAlign val="superscript"/>
      <sz val="10"/>
      <color theme="1"/>
      <name val="Calibri"/>
      <family val="2"/>
      <scheme val="minor"/>
    </font>
    <font>
      <b/>
      <vertAlign val="superscript"/>
      <sz val="9"/>
      <color theme="1"/>
      <name val="Calibri"/>
      <family val="2"/>
      <scheme val="minor"/>
    </font>
    <font>
      <b/>
      <sz val="18"/>
      <color theme="0"/>
      <name val="Calibri"/>
      <family val="2"/>
      <scheme val="minor"/>
    </font>
    <font>
      <b/>
      <sz val="9"/>
      <name val="Calibri"/>
      <family val="2"/>
      <scheme val="minor"/>
    </font>
    <font>
      <sz val="11"/>
      <color rgb="FF292929"/>
      <name val="Calibri"/>
      <family val="2"/>
      <scheme val="minor"/>
    </font>
    <font>
      <sz val="8"/>
      <color rgb="FF292929"/>
      <name val="Calibri"/>
      <family val="2"/>
      <scheme val="minor"/>
    </font>
    <font>
      <sz val="10"/>
      <color rgb="FF292929"/>
      <name val="Calibri"/>
      <family val="2"/>
      <scheme val="minor"/>
    </font>
    <font>
      <b/>
      <sz val="24"/>
      <color theme="0"/>
      <name val="Segoe UI"/>
      <family val="2"/>
    </font>
    <font>
      <b/>
      <sz val="9"/>
      <color rgb="FF292929"/>
      <name val="Arial"/>
      <family val="2"/>
    </font>
    <font>
      <sz val="12"/>
      <color theme="1" tint="0.34998626667073579"/>
      <name val="Calibri"/>
      <family val="2"/>
      <scheme val="minor"/>
    </font>
    <font>
      <sz val="7"/>
      <color rgb="FFFF0000"/>
      <name val="Calibri"/>
      <family val="2"/>
      <scheme val="minor"/>
    </font>
    <font>
      <sz val="5"/>
      <color theme="0"/>
      <name val="Calibri"/>
      <family val="2"/>
      <scheme val="minor"/>
    </font>
    <font>
      <sz val="20"/>
      <color theme="1"/>
      <name val="Segoe UI"/>
      <family val="2"/>
    </font>
    <font>
      <sz val="9"/>
      <color rgb="FF96C83C"/>
      <name val="Calibri"/>
      <family val="2"/>
      <scheme val="minor"/>
    </font>
    <font>
      <b/>
      <sz val="12"/>
      <color rgb="FF78B832"/>
      <name val="Calibri"/>
      <family val="2"/>
      <scheme val="minor"/>
    </font>
    <font>
      <sz val="9"/>
      <color theme="1" tint="0.34998626667073579"/>
      <name val="Calibri Light"/>
      <family val="2"/>
      <scheme val="major"/>
    </font>
    <font>
      <sz val="10"/>
      <color theme="1" tint="0.499984740745262"/>
      <name val="Arial"/>
      <family val="2"/>
    </font>
    <font>
      <sz val="20"/>
      <name val="Calibri"/>
      <family val="2"/>
      <scheme val="minor"/>
    </font>
    <font>
      <sz val="20"/>
      <color rgb="FFFF0000"/>
      <name val="Calibri"/>
      <family val="2"/>
      <scheme val="minor"/>
    </font>
    <font>
      <sz val="9"/>
      <name val="Calibri"/>
      <family val="2"/>
      <scheme val="minor"/>
    </font>
    <font>
      <sz val="6"/>
      <color theme="0" tint="-0.499984740745262"/>
      <name val="Calibri"/>
      <family val="2"/>
      <scheme val="minor"/>
    </font>
    <font>
      <sz val="6"/>
      <color theme="1"/>
      <name val="Calibri"/>
      <family val="2"/>
      <scheme val="minor"/>
    </font>
    <font>
      <b/>
      <sz val="6"/>
      <color theme="1"/>
      <name val="Calibri"/>
      <family val="2"/>
      <scheme val="minor"/>
    </font>
  </fonts>
  <fills count="3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0053A1"/>
      </patternFill>
    </fill>
    <fill>
      <patternFill patternType="solid">
        <fgColor rgb="FF407EB8"/>
      </patternFill>
    </fill>
    <fill>
      <patternFill patternType="solid">
        <fgColor rgb="FFBFD4E7"/>
      </patternFill>
    </fill>
    <fill>
      <patternFill patternType="solid">
        <fgColor rgb="FFE5EEF6"/>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indexed="23"/>
        <bgColor auto="1"/>
      </patternFill>
    </fill>
    <fill>
      <patternFill patternType="solid">
        <fgColor theme="7" tint="0.7999816888943144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3" tint="0.79998168889431442"/>
        <bgColor indexed="64"/>
      </patternFill>
    </fill>
    <fill>
      <patternFill patternType="solid">
        <fgColor rgb="FF00B050"/>
        <bgColor indexed="64"/>
      </patternFill>
    </fill>
    <fill>
      <patternFill patternType="solid">
        <fgColor theme="5" tint="0.79998168889431442"/>
        <bgColor indexed="64"/>
      </patternFill>
    </fill>
    <fill>
      <patternFill patternType="solid">
        <fgColor rgb="FF96C83C"/>
        <bgColor indexed="64"/>
      </patternFill>
    </fill>
  </fills>
  <borders count="250">
    <border>
      <left/>
      <right/>
      <top/>
      <bottom/>
      <diagonal/>
    </border>
    <border>
      <left/>
      <right/>
      <top/>
      <bottom style="medium">
        <color rgb="FFFFFFFF"/>
      </bottom>
      <diagonal/>
    </border>
    <border>
      <left/>
      <right/>
      <top style="medium">
        <color rgb="FFFFFFFF"/>
      </top>
      <bottom/>
      <diagonal/>
    </border>
    <border>
      <left style="medium">
        <color rgb="FFFFFFFF"/>
      </left>
      <right/>
      <top style="medium">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medium">
        <color rgb="FFFFFFFF"/>
      </top>
      <bottom style="medium">
        <color rgb="FFFFFFFF"/>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medium">
        <color rgb="FFFFFFFF"/>
      </top>
      <bottom style="thin">
        <color theme="0" tint="-0.24994659260841701"/>
      </bottom>
      <diagonal/>
    </border>
    <border>
      <left/>
      <right style="thin">
        <color theme="0" tint="-0.24994659260841701"/>
      </right>
      <top style="medium">
        <color rgb="FFFFFFFF"/>
      </top>
      <bottom style="medium">
        <color rgb="FFFFFFFF"/>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FFFFFF"/>
      </left>
      <right/>
      <top/>
      <bottom/>
      <diagonal/>
    </border>
    <border>
      <left/>
      <right style="medium">
        <color rgb="FF808080"/>
      </right>
      <top/>
      <bottom/>
      <diagonal/>
    </border>
    <border>
      <left/>
      <right style="medium">
        <color rgb="FF7F7F7F"/>
      </right>
      <top/>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medium">
        <color rgb="FFFFFFFF"/>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rgb="FFFFFFFF"/>
      </left>
      <right/>
      <top/>
      <bottom style="thin">
        <color theme="0" tint="-0.24994659260841701"/>
      </bottom>
      <diagonal/>
    </border>
    <border>
      <left/>
      <right style="medium">
        <color rgb="FFFFFFFF"/>
      </right>
      <top/>
      <bottom style="thin">
        <color theme="0" tint="-0.24994659260841701"/>
      </bottom>
      <diagonal/>
    </border>
    <border>
      <left style="medium">
        <color rgb="FFFFFFFF"/>
      </left>
      <right style="medium">
        <color rgb="FFFFFFFF"/>
      </right>
      <top/>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auto="1"/>
      </bottom>
      <diagonal/>
    </border>
    <border>
      <left style="thin">
        <color theme="0" tint="-0.24994659260841701"/>
      </left>
      <right style="medium">
        <color rgb="FF808080"/>
      </right>
      <top style="thin">
        <color theme="0" tint="-0.24994659260841701"/>
      </top>
      <bottom style="thin">
        <color theme="0" tint="-0.24994659260841701"/>
      </bottom>
      <diagonal/>
    </border>
    <border>
      <left/>
      <right style="medium">
        <color rgb="FF808080"/>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style="medium">
        <color auto="1"/>
      </right>
      <top/>
      <bottom/>
      <diagonal/>
    </border>
    <border>
      <left style="thin">
        <color theme="0" tint="-0.24994659260841701"/>
      </left>
      <right style="medium">
        <color auto="1"/>
      </right>
      <top style="thin">
        <color theme="0" tint="-0.24994659260841701"/>
      </top>
      <bottom style="thin">
        <color theme="0" tint="-0.24994659260841701"/>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style="thin">
        <color theme="0" tint="-0.24994659260841701"/>
      </top>
      <bottom style="thin">
        <color theme="0" tint="-0.24994659260841701"/>
      </bottom>
      <diagonal/>
    </border>
    <border>
      <left/>
      <right style="thick">
        <color theme="4" tint="-0.499984740745262"/>
      </right>
      <top style="thin">
        <color theme="0" tint="-0.24994659260841701"/>
      </top>
      <bottom style="thin">
        <color theme="0" tint="-0.24994659260841701"/>
      </bottom>
      <diagonal/>
    </border>
    <border>
      <left style="thick">
        <color theme="4"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theme="4" tint="-0.499984740745262"/>
      </right>
      <top style="thin">
        <color theme="0" tint="-0.24994659260841701"/>
      </top>
      <bottom style="thin">
        <color theme="0" tint="-0.24994659260841701"/>
      </bottom>
      <diagonal/>
    </border>
    <border>
      <left style="thick">
        <color theme="4" tint="-0.499984740745262"/>
      </left>
      <right/>
      <top/>
      <bottom/>
      <diagonal/>
    </border>
    <border>
      <left/>
      <right style="thick">
        <color theme="4" tint="-0.499984740745262"/>
      </right>
      <top/>
      <bottom/>
      <diagonal/>
    </border>
    <border>
      <left style="thick">
        <color theme="4" tint="-0.499984740745262"/>
      </left>
      <right style="thin">
        <color theme="0" tint="-0.24994659260841701"/>
      </right>
      <top/>
      <bottom style="thin">
        <color theme="0" tint="-0.24994659260841701"/>
      </bottom>
      <diagonal/>
    </border>
    <border>
      <left style="thin">
        <color theme="0" tint="-0.24994659260841701"/>
      </left>
      <right style="thick">
        <color theme="4" tint="-0.499984740745262"/>
      </right>
      <top/>
      <bottom style="thin">
        <color theme="0" tint="-0.24994659260841701"/>
      </bottom>
      <diagonal/>
    </border>
    <border>
      <left style="thick">
        <color theme="4" tint="-0.499984740745262"/>
      </left>
      <right/>
      <top style="thin">
        <color theme="0" tint="-0.24994659260841701"/>
      </top>
      <bottom style="thick">
        <color theme="4" tint="-0.499984740745262"/>
      </bottom>
      <diagonal/>
    </border>
    <border>
      <left/>
      <right/>
      <top style="thin">
        <color theme="0" tint="-0.24994659260841701"/>
      </top>
      <bottom style="thick">
        <color theme="4" tint="-0.499984740745262"/>
      </bottom>
      <diagonal/>
    </border>
    <border>
      <left/>
      <right style="thick">
        <color theme="4" tint="-0.499984740745262"/>
      </right>
      <top style="thin">
        <color theme="0" tint="-0.24994659260841701"/>
      </top>
      <bottom style="thick">
        <color theme="4" tint="-0.499984740745262"/>
      </bottom>
      <diagonal/>
    </border>
    <border>
      <left style="medium">
        <color theme="4" tint="-0.499984740745262"/>
      </left>
      <right/>
      <top style="medium">
        <color theme="4" tint="-0.499984740745262"/>
      </top>
      <bottom style="medium">
        <color theme="4" tint="-0.499984740745262"/>
      </bottom>
      <diagonal/>
    </border>
    <border>
      <left style="thin">
        <color theme="0" tint="-0.24994659260841701"/>
      </left>
      <right style="thin">
        <color theme="0" tint="-0.24994659260841701"/>
      </right>
      <top style="medium">
        <color theme="4" tint="-0.499984740745262"/>
      </top>
      <bottom style="medium">
        <color theme="4" tint="-0.499984740745262"/>
      </bottom>
      <diagonal/>
    </border>
    <border>
      <left style="thin">
        <color theme="0" tint="-0.24994659260841701"/>
      </left>
      <right/>
      <top style="medium">
        <color theme="4" tint="-0.499984740745262"/>
      </top>
      <bottom style="medium">
        <color theme="4" tint="-0.499984740745262"/>
      </bottom>
      <diagonal/>
    </border>
    <border>
      <left style="thick">
        <color theme="4" tint="-0.499984740745262"/>
      </left>
      <right style="thin">
        <color theme="0" tint="-0.24994659260841701"/>
      </right>
      <top style="medium">
        <color theme="4" tint="-0.499984740745262"/>
      </top>
      <bottom style="medium">
        <color theme="4" tint="-0.499984740745262"/>
      </bottom>
      <diagonal/>
    </border>
    <border>
      <left style="thin">
        <color theme="0" tint="-0.24994659260841701"/>
      </left>
      <right style="thick">
        <color theme="4" tint="-0.499984740745262"/>
      </right>
      <top style="medium">
        <color theme="4" tint="-0.499984740745262"/>
      </top>
      <bottom style="medium">
        <color theme="4" tint="-0.499984740745262"/>
      </bottom>
      <diagonal/>
    </border>
    <border>
      <left/>
      <right style="thin">
        <color theme="0" tint="-0.24994659260841701"/>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bottom style="thick">
        <color theme="0" tint="-0.24994659260841701"/>
      </bottom>
      <diagonal/>
    </border>
    <border>
      <left style="thin">
        <color theme="0"/>
      </left>
      <right style="thin">
        <color theme="0"/>
      </right>
      <top style="thin">
        <color theme="0"/>
      </top>
      <bottom style="thin">
        <color theme="0" tint="-0.24994659260841701"/>
      </bottom>
      <diagonal/>
    </border>
    <border>
      <left style="thin">
        <color theme="8" tint="-0.24994659260841701"/>
      </left>
      <right/>
      <top style="thin">
        <color theme="8" tint="-0.24994659260841701"/>
      </top>
      <bottom/>
      <diagonal/>
    </border>
    <border>
      <left/>
      <right/>
      <top style="thin">
        <color theme="8" tint="-0.24994659260841701"/>
      </top>
      <bottom/>
      <diagonal/>
    </border>
    <border>
      <left/>
      <right style="thin">
        <color theme="8" tint="-0.24994659260841701"/>
      </right>
      <top style="thin">
        <color theme="8" tint="-0.24994659260841701"/>
      </top>
      <bottom/>
      <diagonal/>
    </border>
    <border>
      <left style="thin">
        <color theme="8" tint="-0.24994659260841701"/>
      </left>
      <right/>
      <top/>
      <bottom style="thin">
        <color theme="8" tint="-0.24994659260841701"/>
      </bottom>
      <diagonal/>
    </border>
    <border>
      <left/>
      <right/>
      <top/>
      <bottom style="thin">
        <color theme="8" tint="-0.24994659260841701"/>
      </bottom>
      <diagonal/>
    </border>
    <border>
      <left/>
      <right style="thin">
        <color theme="8" tint="-0.24994659260841701"/>
      </right>
      <top/>
      <bottom style="thin">
        <color theme="8" tint="-0.2499465926084170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style="thick">
        <color theme="8" tint="-0.24994659260841701"/>
      </left>
      <right/>
      <top style="thin">
        <color theme="0" tint="-0.24994659260841701"/>
      </top>
      <bottom style="thin">
        <color theme="0" tint="-0.24994659260841701"/>
      </bottom>
      <diagonal/>
    </border>
    <border>
      <left/>
      <right style="thick">
        <color theme="8" tint="-0.24994659260841701"/>
      </right>
      <top style="thin">
        <color theme="0" tint="-0.24994659260841701"/>
      </top>
      <bottom style="thin">
        <color theme="0" tint="-0.24994659260841701"/>
      </bottom>
      <diagonal/>
    </border>
    <border>
      <left style="thick">
        <color theme="8"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theme="8" tint="-0.24994659260841701"/>
      </right>
      <top style="thin">
        <color theme="0" tint="-0.24994659260841701"/>
      </top>
      <bottom style="thin">
        <color theme="0" tint="-0.24994659260841701"/>
      </bottom>
      <diagonal/>
    </border>
    <border>
      <left style="thick">
        <color theme="8" tint="-0.24994659260841701"/>
      </left>
      <right/>
      <top/>
      <bottom/>
      <diagonal/>
    </border>
    <border>
      <left/>
      <right style="thick">
        <color theme="8" tint="-0.24994659260841701"/>
      </right>
      <top/>
      <bottom/>
      <diagonal/>
    </border>
    <border>
      <left style="thick">
        <color theme="8" tint="-0.24994659260841701"/>
      </left>
      <right style="thin">
        <color theme="0" tint="-0.24994659260841701"/>
      </right>
      <top style="thin">
        <color theme="0" tint="-0.24994659260841701"/>
      </top>
      <bottom/>
      <diagonal/>
    </border>
    <border>
      <left style="thin">
        <color theme="0" tint="-0.24994659260841701"/>
      </left>
      <right style="thick">
        <color theme="8" tint="-0.24994659260841701"/>
      </right>
      <top style="thin">
        <color theme="0" tint="-0.24994659260841701"/>
      </top>
      <bottom/>
      <diagonal/>
    </border>
    <border>
      <left style="thick">
        <color theme="8" tint="-0.24994659260841701"/>
      </left>
      <right style="thin">
        <color theme="0" tint="-0.24994659260841701"/>
      </right>
      <top/>
      <bottom style="thin">
        <color theme="0" tint="-0.24994659260841701"/>
      </bottom>
      <diagonal/>
    </border>
    <border>
      <left style="thin">
        <color theme="0" tint="-0.24994659260841701"/>
      </left>
      <right style="thick">
        <color theme="8" tint="-0.24994659260841701"/>
      </right>
      <top/>
      <bottom style="thin">
        <color theme="0" tint="-0.24994659260841701"/>
      </bottom>
      <diagonal/>
    </border>
    <border>
      <left style="thick">
        <color theme="8" tint="-0.24994659260841701"/>
      </left>
      <right/>
      <top/>
      <bottom style="thin">
        <color theme="0" tint="-0.24994659260841701"/>
      </bottom>
      <diagonal/>
    </border>
    <border>
      <left/>
      <right style="thick">
        <color theme="8" tint="-0.24994659260841701"/>
      </right>
      <top/>
      <bottom style="thin">
        <color theme="0" tint="-0.24994659260841701"/>
      </bottom>
      <diagonal/>
    </border>
    <border>
      <left style="thick">
        <color theme="8" tint="-0.24994659260841701"/>
      </left>
      <right/>
      <top style="thin">
        <color theme="0" tint="-0.24994659260841701"/>
      </top>
      <bottom style="thick">
        <color theme="8" tint="-0.24994659260841701"/>
      </bottom>
      <diagonal/>
    </border>
    <border>
      <left/>
      <right/>
      <top style="thin">
        <color theme="0" tint="-0.24994659260841701"/>
      </top>
      <bottom style="thick">
        <color theme="8" tint="-0.24994659260841701"/>
      </bottom>
      <diagonal/>
    </border>
    <border>
      <left/>
      <right style="thick">
        <color theme="8" tint="-0.24994659260841701"/>
      </right>
      <top style="thin">
        <color theme="0" tint="-0.24994659260841701"/>
      </top>
      <bottom style="thick">
        <color theme="8" tint="-0.24994659260841701"/>
      </bottom>
      <diagonal/>
    </border>
    <border>
      <left style="medium">
        <color theme="8" tint="-0.24994659260841701"/>
      </left>
      <right/>
      <top style="medium">
        <color theme="8" tint="-0.24994659260841701"/>
      </top>
      <bottom style="medium">
        <color theme="8" tint="-0.24994659260841701"/>
      </bottom>
      <diagonal/>
    </border>
    <border>
      <left style="thin">
        <color theme="0" tint="-0.24994659260841701"/>
      </left>
      <right style="thin">
        <color theme="0" tint="-0.24994659260841701"/>
      </right>
      <top style="medium">
        <color theme="8" tint="-0.24994659260841701"/>
      </top>
      <bottom style="medium">
        <color theme="8" tint="-0.24994659260841701"/>
      </bottom>
      <diagonal/>
    </border>
    <border>
      <left style="thin">
        <color theme="0" tint="-0.24994659260841701"/>
      </left>
      <right/>
      <top style="medium">
        <color theme="8" tint="-0.24994659260841701"/>
      </top>
      <bottom style="medium">
        <color theme="8" tint="-0.24994659260841701"/>
      </bottom>
      <diagonal/>
    </border>
    <border>
      <left style="thick">
        <color theme="8" tint="-0.24994659260841701"/>
      </left>
      <right style="thin">
        <color theme="0" tint="-0.24994659260841701"/>
      </right>
      <top style="medium">
        <color theme="8" tint="-0.24994659260841701"/>
      </top>
      <bottom style="medium">
        <color theme="8" tint="-0.24994659260841701"/>
      </bottom>
      <diagonal/>
    </border>
    <border>
      <left style="thin">
        <color theme="0" tint="-0.24994659260841701"/>
      </left>
      <right style="thick">
        <color theme="8" tint="-0.24994659260841701"/>
      </right>
      <top style="medium">
        <color theme="8" tint="-0.24994659260841701"/>
      </top>
      <bottom style="medium">
        <color theme="8" tint="-0.24994659260841701"/>
      </bottom>
      <diagonal/>
    </border>
    <border>
      <left/>
      <right style="thin">
        <color theme="0" tint="-0.24994659260841701"/>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medium">
        <color theme="8" tint="-0.24994659260841701"/>
      </left>
      <right style="thin">
        <color theme="0" tint="-0.24994659260841701"/>
      </right>
      <top style="medium">
        <color theme="8" tint="-0.24994659260841701"/>
      </top>
      <bottom style="medium">
        <color theme="8" tint="-0.24994659260841701"/>
      </bottom>
      <diagonal/>
    </border>
    <border>
      <left style="thin">
        <color indexed="9"/>
      </left>
      <right style="thin">
        <color indexed="8"/>
      </right>
      <top/>
      <bottom style="thin">
        <color indexed="9"/>
      </bottom>
      <diagonal/>
    </border>
    <border>
      <left style="thin">
        <color indexed="8"/>
      </left>
      <right style="thin">
        <color indexed="8"/>
      </right>
      <top style="thin">
        <color indexed="8"/>
      </top>
      <bottom style="thin">
        <color indexed="8"/>
      </bottom>
      <diagonal/>
    </border>
    <border>
      <left style="thin">
        <color indexed="9"/>
      </left>
      <right style="thin">
        <color indexed="8"/>
      </right>
      <top style="thin">
        <color indexed="9"/>
      </top>
      <bottom style="thin">
        <color indexed="9"/>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ck">
        <color theme="8" tint="-0.24994659260841701"/>
      </left>
      <right style="thick">
        <color theme="8" tint="-0.24994659260841701"/>
      </right>
      <top style="thick">
        <color theme="8" tint="-0.24994659260841701"/>
      </top>
      <bottom style="thin">
        <color theme="0" tint="-0.24994659260841701"/>
      </bottom>
      <diagonal/>
    </border>
    <border>
      <left style="thick">
        <color theme="8" tint="-0.24994659260841701"/>
      </left>
      <right style="thick">
        <color theme="8" tint="-0.24994659260841701"/>
      </right>
      <top style="thin">
        <color theme="0" tint="-0.24994659260841701"/>
      </top>
      <bottom style="thin">
        <color theme="0" tint="-0.24994659260841701"/>
      </bottom>
      <diagonal/>
    </border>
    <border>
      <left style="thick">
        <color theme="8" tint="-0.24994659260841701"/>
      </left>
      <right style="thick">
        <color theme="8" tint="-0.24994659260841701"/>
      </right>
      <top/>
      <bottom/>
      <diagonal/>
    </border>
    <border>
      <left style="thick">
        <color theme="8" tint="-0.24994659260841701"/>
      </left>
      <right style="thick">
        <color theme="8" tint="-0.24994659260841701"/>
      </right>
      <top style="thin">
        <color theme="0" tint="-0.24994659260841701"/>
      </top>
      <bottom style="thick">
        <color theme="8" tint="-0.24994659260841701"/>
      </bottom>
      <diagonal/>
    </border>
    <border>
      <left/>
      <right/>
      <top style="thin">
        <color theme="0" tint="-0.499984740745262"/>
      </top>
      <bottom/>
      <diagonal/>
    </border>
    <border>
      <left/>
      <right/>
      <top style="thin">
        <color theme="1" tint="0.499984740745262"/>
      </top>
      <bottom/>
      <diagonal/>
    </border>
    <border>
      <left/>
      <right/>
      <top/>
      <bottom style="thin">
        <color theme="1" tint="0.499984740745262"/>
      </bottom>
      <diagonal/>
    </border>
    <border>
      <left/>
      <right/>
      <top/>
      <bottom style="medium">
        <color theme="0" tint="-0.499984740745262"/>
      </bottom>
      <diagonal/>
    </border>
    <border>
      <left/>
      <right/>
      <top style="thin">
        <color auto="1"/>
      </top>
      <bottom/>
      <diagonal/>
    </border>
    <border>
      <left style="medium">
        <color theme="8" tint="-0.24994659260841701"/>
      </left>
      <right style="medium">
        <color theme="8" tint="-0.24994659260841701"/>
      </right>
      <top style="medium">
        <color theme="8" tint="-0.24994659260841701"/>
      </top>
      <bottom/>
      <diagonal/>
    </border>
    <border>
      <left style="medium">
        <color theme="8" tint="-0.24994659260841701"/>
      </left>
      <right style="medium">
        <color theme="8" tint="-0.24994659260841701"/>
      </right>
      <top style="thin">
        <color theme="0" tint="-0.24994659260841701"/>
      </top>
      <bottom style="thin">
        <color theme="0" tint="-0.24994659260841701"/>
      </bottom>
      <diagonal/>
    </border>
    <border>
      <left style="medium">
        <color theme="8" tint="-0.24994659260841701"/>
      </left>
      <right style="medium">
        <color theme="8" tint="-0.24994659260841701"/>
      </right>
      <top/>
      <bottom/>
      <diagonal/>
    </border>
    <border>
      <left style="medium">
        <color theme="8" tint="-0.24994659260841701"/>
      </left>
      <right style="medium">
        <color theme="8" tint="-0.24994659260841701"/>
      </right>
      <top/>
      <bottom style="medium">
        <color theme="8" tint="-0.24994659260841701"/>
      </bottom>
      <diagonal/>
    </border>
    <border>
      <left style="thick">
        <color theme="4" tint="-0.24994659260841701"/>
      </left>
      <right style="thick">
        <color theme="4" tint="-0.24994659260841701"/>
      </right>
      <top/>
      <bottom/>
      <diagonal/>
    </border>
    <border>
      <left style="thick">
        <color theme="4" tint="-0.24994659260841701"/>
      </left>
      <right style="thick">
        <color theme="4" tint="-0.24994659260841701"/>
      </right>
      <top/>
      <bottom style="thick">
        <color theme="4" tint="-0.2499465926084170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1" tint="0.499984740745262"/>
      </left>
      <right style="thin">
        <color theme="0" tint="-0.24994659260841701"/>
      </right>
      <top style="thin">
        <color theme="1" tint="0.499984740745262"/>
      </top>
      <bottom/>
      <diagonal/>
    </border>
    <border>
      <left style="thin">
        <color theme="0" tint="-0.24994659260841701"/>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right style="thin">
        <color theme="1" tint="0.499984740745262"/>
      </right>
      <top style="thin">
        <color theme="1" tint="0.499984740745262"/>
      </top>
      <bottom style="thin">
        <color theme="0" tint="-0.24994659260841701"/>
      </bottom>
      <diagonal/>
    </border>
    <border>
      <left style="thin">
        <color theme="1" tint="0.499984740745262"/>
      </left>
      <right style="thin">
        <color theme="0" tint="-0.24994659260841701"/>
      </right>
      <top/>
      <bottom/>
      <diagonal/>
    </border>
    <border>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0" tint="-0.24994659260841701"/>
      </right>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1" tint="0.499984740745262"/>
      </right>
      <top style="thin">
        <color theme="0" tint="-0.24994659260841701"/>
      </top>
      <bottom style="thin">
        <color theme="1"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3743705557422"/>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ck">
        <color theme="0" tint="-0.24994659260841701"/>
      </top>
      <bottom/>
      <diagonal/>
    </border>
    <border>
      <left style="thin">
        <color theme="0" tint="-0.1499679555650502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theme="0" tint="-0.24994659260841701"/>
      </top>
      <bottom style="thin">
        <color theme="0" tint="-0.499984740745262"/>
      </bottom>
      <diagonal/>
    </border>
  </borders>
  <cellStyleXfs count="5">
    <xf numFmtId="0" fontId="0" fillId="0" borderId="0"/>
    <xf numFmtId="9" fontId="4" fillId="0" borderId="0" applyFont="0" applyFill="0" applyBorder="0" applyAlignment="0" applyProtection="0"/>
    <xf numFmtId="0" fontId="15" fillId="0" borderId="0" applyNumberFormat="0" applyFill="0" applyBorder="0" applyAlignment="0" applyProtection="0"/>
    <xf numFmtId="44" fontId="4" fillId="0" borderId="0" applyFont="0" applyFill="0" applyBorder="0" applyAlignment="0" applyProtection="0"/>
    <xf numFmtId="0" fontId="158" fillId="0" borderId="0"/>
  </cellStyleXfs>
  <cellXfs count="2650">
    <xf numFmtId="0" fontId="0" fillId="0" borderId="0" xfId="0"/>
    <xf numFmtId="0" fontId="1" fillId="0" borderId="0" xfId="0" applyFont="1" applyAlignment="1">
      <alignment vertical="center"/>
    </xf>
    <xf numFmtId="0" fontId="1" fillId="0" borderId="0" xfId="0" applyFont="1"/>
    <xf numFmtId="0" fontId="0" fillId="0" borderId="0" xfId="0" applyAlignment="1">
      <alignment horizontal="center"/>
    </xf>
    <xf numFmtId="0" fontId="0" fillId="0" borderId="0" xfId="0" applyAlignment="1">
      <alignment horizontal="right"/>
    </xf>
    <xf numFmtId="0" fontId="10" fillId="4" borderId="4" xfId="0" applyFont="1" applyFill="1" applyBorder="1" applyAlignment="1">
      <alignment vertical="center" wrapText="1"/>
    </xf>
    <xf numFmtId="0" fontId="5" fillId="5" borderId="4" xfId="0" applyFont="1" applyFill="1" applyBorder="1" applyAlignment="1">
      <alignment horizontal="center"/>
    </xf>
    <xf numFmtId="6" fontId="1" fillId="2" borderId="0" xfId="0" applyNumberFormat="1" applyFont="1" applyFill="1" applyBorder="1" applyAlignment="1">
      <alignment horizontal="right" vertical="center" wrapText="1"/>
    </xf>
    <xf numFmtId="0" fontId="0" fillId="0" borderId="0" xfId="0" applyAlignment="1"/>
    <xf numFmtId="6" fontId="9" fillId="0" borderId="0" xfId="0" applyNumberFormat="1" applyFont="1" applyBorder="1" applyAlignment="1">
      <alignment horizontal="right" vertical="center"/>
    </xf>
    <xf numFmtId="0" fontId="1" fillId="0" borderId="0" xfId="0" applyFont="1" applyBorder="1"/>
    <xf numFmtId="0" fontId="1" fillId="0" borderId="0" xfId="0" applyFont="1" applyBorder="1" applyAlignment="1">
      <alignment horizontal="center"/>
    </xf>
    <xf numFmtId="10" fontId="1" fillId="0" borderId="0" xfId="0" applyNumberFormat="1" applyFont="1" applyBorder="1" applyAlignment="1">
      <alignment horizontal="center"/>
    </xf>
    <xf numFmtId="0" fontId="1" fillId="0" borderId="0" xfId="0" applyFont="1" applyBorder="1" applyAlignment="1">
      <alignment horizontal="right"/>
    </xf>
    <xf numFmtId="0" fontId="9" fillId="0" borderId="0" xfId="0" applyFont="1" applyBorder="1" applyAlignment="1">
      <alignment horizontal="center" vertical="center"/>
    </xf>
    <xf numFmtId="10" fontId="9" fillId="0" borderId="0" xfId="0" applyNumberFormat="1" applyFont="1" applyBorder="1" applyAlignment="1">
      <alignment horizontal="center" vertical="center"/>
    </xf>
    <xf numFmtId="6" fontId="9" fillId="0" borderId="0" xfId="0" applyNumberFormat="1" applyFont="1" applyBorder="1" applyAlignment="1">
      <alignment horizontal="center" vertical="center"/>
    </xf>
    <xf numFmtId="8" fontId="1" fillId="0" borderId="0" xfId="0" applyNumberFormat="1" applyFont="1"/>
    <xf numFmtId="0" fontId="10" fillId="3" borderId="0" xfId="0" applyFont="1" applyFill="1" applyBorder="1" applyAlignment="1">
      <alignment vertical="center"/>
    </xf>
    <xf numFmtId="6" fontId="8" fillId="3" borderId="0" xfId="0" applyNumberFormat="1" applyFont="1" applyFill="1" applyBorder="1" applyAlignment="1">
      <alignment horizontal="center" vertical="center"/>
    </xf>
    <xf numFmtId="0" fontId="1" fillId="0" borderId="0" xfId="0" applyFont="1" applyAlignment="1">
      <alignment horizontal="center"/>
    </xf>
    <xf numFmtId="0" fontId="0" fillId="0" borderId="0" xfId="0" applyAlignment="1">
      <alignment vertical="center"/>
    </xf>
    <xf numFmtId="0" fontId="0" fillId="0" borderId="8" xfId="0" applyBorder="1" applyAlignment="1">
      <alignment vertical="center"/>
    </xf>
    <xf numFmtId="0" fontId="0" fillId="0" borderId="0" xfId="0"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16" fillId="0" borderId="0" xfId="0" applyFont="1" applyBorder="1" applyAlignment="1">
      <alignment horizontal="center" vertical="center"/>
    </xf>
    <xf numFmtId="0" fontId="11" fillId="0" borderId="0" xfId="0" applyFont="1" applyAlignment="1">
      <alignment vertical="center"/>
    </xf>
    <xf numFmtId="0" fontId="0" fillId="0" borderId="0" xfId="0" applyAlignment="1" applyProtection="1">
      <alignment vertical="center"/>
      <protection hidden="1"/>
    </xf>
    <xf numFmtId="0" fontId="0" fillId="0" borderId="0" xfId="0" applyAlignment="1" applyProtection="1">
      <alignment vertical="center"/>
    </xf>
    <xf numFmtId="0" fontId="18" fillId="0" borderId="0" xfId="0" applyFont="1" applyAlignment="1">
      <alignment vertical="center"/>
    </xf>
    <xf numFmtId="0" fontId="18" fillId="0" borderId="0" xfId="0" applyFont="1" applyBorder="1" applyAlignment="1">
      <alignment vertical="center"/>
    </xf>
    <xf numFmtId="0" fontId="0" fillId="0" borderId="0" xfId="0" applyBorder="1" applyAlignment="1" applyProtection="1">
      <alignment vertical="center"/>
    </xf>
    <xf numFmtId="0" fontId="11" fillId="0" borderId="0" xfId="0" applyFont="1" applyAlignment="1" applyProtection="1">
      <alignment vertical="center"/>
    </xf>
    <xf numFmtId="0" fontId="6" fillId="2" borderId="0" xfId="0" applyFont="1" applyFill="1" applyBorder="1" applyAlignment="1" applyProtection="1">
      <alignment vertical="center" wrapText="1"/>
    </xf>
    <xf numFmtId="0" fontId="6" fillId="2" borderId="1" xfId="0" applyFont="1" applyFill="1" applyBorder="1" applyAlignment="1" applyProtection="1">
      <alignment vertical="center" wrapText="1"/>
    </xf>
    <xf numFmtId="0" fontId="0" fillId="0" borderId="8" xfId="0" applyBorder="1" applyAlignment="1" applyProtection="1">
      <alignment vertical="center"/>
    </xf>
    <xf numFmtId="0" fontId="10" fillId="4" borderId="4" xfId="0" applyFont="1" applyFill="1" applyBorder="1" applyAlignment="1" applyProtection="1">
      <alignment vertical="center"/>
    </xf>
    <xf numFmtId="0" fontId="0" fillId="0" borderId="0" xfId="0" applyFont="1" applyBorder="1" applyAlignment="1" applyProtection="1">
      <alignment vertical="center"/>
    </xf>
    <xf numFmtId="0" fontId="0" fillId="0" borderId="0" xfId="0" applyFont="1" applyAlignment="1" applyProtection="1">
      <alignment vertical="center"/>
    </xf>
    <xf numFmtId="0" fontId="13" fillId="0" borderId="0" xfId="0" applyFont="1" applyBorder="1" applyAlignment="1" applyProtection="1">
      <alignment vertical="center" wrapText="1"/>
    </xf>
    <xf numFmtId="0" fontId="3" fillId="0" borderId="0" xfId="0" applyFont="1" applyBorder="1" applyAlignment="1" applyProtection="1">
      <alignment vertical="center" wrapText="1"/>
    </xf>
    <xf numFmtId="0" fontId="11" fillId="0" borderId="0" xfId="0" applyFont="1" applyBorder="1" applyAlignment="1" applyProtection="1">
      <alignment vertical="top"/>
    </xf>
    <xf numFmtId="0" fontId="19" fillId="0" borderId="0" xfId="0" applyFont="1" applyBorder="1" applyAlignment="1" applyProtection="1">
      <alignment vertical="top"/>
    </xf>
    <xf numFmtId="0" fontId="11" fillId="0" borderId="0" xfId="0" applyFont="1" applyAlignment="1" applyProtection="1">
      <alignment vertical="top"/>
    </xf>
    <xf numFmtId="0" fontId="0" fillId="0" borderId="0" xfId="0" applyBorder="1" applyAlignment="1" applyProtection="1">
      <alignment vertical="top"/>
    </xf>
    <xf numFmtId="0" fontId="19" fillId="0" borderId="0"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3" fillId="0" borderId="0" xfId="0" applyFont="1" applyBorder="1" applyAlignment="1">
      <alignment vertical="center" wrapText="1"/>
    </xf>
    <xf numFmtId="0" fontId="6" fillId="7" borderId="0" xfId="0" applyFont="1" applyFill="1" applyBorder="1" applyAlignment="1" applyProtection="1">
      <alignment vertical="center" wrapText="1"/>
    </xf>
    <xf numFmtId="0" fontId="2" fillId="0" borderId="0" xfId="0" applyFont="1" applyBorder="1" applyAlignment="1">
      <alignment vertical="center" wrapText="1"/>
    </xf>
    <xf numFmtId="0" fontId="1" fillId="0" borderId="8" xfId="0" applyFont="1" applyBorder="1" applyAlignment="1">
      <alignment vertical="center"/>
    </xf>
    <xf numFmtId="0" fontId="1" fillId="0" borderId="0" xfId="0" applyFont="1" applyBorder="1" applyAlignment="1">
      <alignment vertical="center"/>
    </xf>
    <xf numFmtId="6" fontId="1" fillId="0" borderId="7" xfId="0" applyNumberFormat="1" applyFont="1" applyFill="1" applyBorder="1" applyAlignment="1" applyProtection="1">
      <alignment horizontal="right" vertical="center"/>
      <protection locked="0"/>
    </xf>
    <xf numFmtId="6" fontId="1" fillId="8" borderId="7" xfId="0" applyNumberFormat="1" applyFont="1" applyFill="1" applyBorder="1" applyAlignment="1" applyProtection="1">
      <alignment horizontal="right" vertical="center"/>
      <protection locked="0"/>
    </xf>
    <xf numFmtId="6" fontId="1" fillId="8" borderId="5" xfId="0" applyNumberFormat="1" applyFont="1" applyFill="1" applyBorder="1" applyAlignment="1" applyProtection="1">
      <alignment horizontal="right" vertical="center"/>
      <protection locked="0"/>
    </xf>
    <xf numFmtId="0" fontId="1" fillId="0" borderId="8" xfId="0" applyFont="1" applyBorder="1" applyAlignment="1" applyProtection="1">
      <alignment vertical="center"/>
    </xf>
    <xf numFmtId="0" fontId="1" fillId="0" borderId="0" xfId="0" applyFont="1" applyAlignment="1" applyProtection="1">
      <alignment vertical="center"/>
    </xf>
    <xf numFmtId="0" fontId="25" fillId="2" borderId="0" xfId="0" applyFont="1" applyFill="1" applyBorder="1" applyAlignment="1" applyProtection="1">
      <alignment vertical="center" wrapText="1"/>
    </xf>
    <xf numFmtId="0" fontId="25" fillId="2" borderId="1" xfId="0" applyFont="1" applyFill="1" applyBorder="1" applyAlignment="1" applyProtection="1">
      <alignment vertical="center" wrapText="1"/>
    </xf>
    <xf numFmtId="0" fontId="2" fillId="0" borderId="0" xfId="0" applyFont="1" applyBorder="1" applyAlignment="1">
      <alignment vertical="center"/>
    </xf>
    <xf numFmtId="0" fontId="13" fillId="0" borderId="0" xfId="0" applyFont="1" applyBorder="1" applyAlignment="1">
      <alignment vertical="center" wrapText="1"/>
    </xf>
    <xf numFmtId="0" fontId="2" fillId="2" borderId="0" xfId="0" applyFont="1" applyFill="1" applyBorder="1" applyAlignment="1">
      <alignment vertical="center" wrapText="1"/>
    </xf>
    <xf numFmtId="0" fontId="1" fillId="0" borderId="0" xfId="0" applyFont="1" applyAlignment="1" applyProtection="1">
      <alignment horizontal="center" vertical="center"/>
      <protection locked="0" hidden="1"/>
    </xf>
    <xf numFmtId="0" fontId="1" fillId="0" borderId="0" xfId="0" applyFont="1" applyAlignment="1" applyProtection="1">
      <alignment vertical="center"/>
      <protection locked="0" hidden="1"/>
    </xf>
    <xf numFmtId="0" fontId="0" fillId="0" borderId="2" xfId="0" applyBorder="1" applyAlignment="1">
      <alignment vertical="center"/>
    </xf>
    <xf numFmtId="0" fontId="20" fillId="0" borderId="0" xfId="0" applyFont="1" applyBorder="1" applyAlignment="1">
      <alignment vertical="top" wrapText="1"/>
    </xf>
    <xf numFmtId="0" fontId="28" fillId="0" borderId="0" xfId="0" applyFont="1" applyAlignment="1">
      <alignment vertical="center"/>
    </xf>
    <xf numFmtId="0" fontId="28" fillId="0" borderId="0" xfId="0" applyFont="1" applyBorder="1" applyAlignment="1">
      <alignment vertical="center" wrapText="1"/>
    </xf>
    <xf numFmtId="0" fontId="2" fillId="2" borderId="0" xfId="0" applyFont="1" applyFill="1" applyBorder="1" applyAlignment="1">
      <alignment vertical="center"/>
    </xf>
    <xf numFmtId="0" fontId="1" fillId="0" borderId="0" xfId="0" applyFont="1" applyAlignment="1">
      <alignment horizontal="right" vertical="center"/>
    </xf>
    <xf numFmtId="0" fontId="2" fillId="2" borderId="0" xfId="0" applyFont="1" applyFill="1" applyBorder="1" applyAlignment="1">
      <alignment horizontal="right" vertical="center"/>
    </xf>
    <xf numFmtId="0" fontId="1" fillId="0" borderId="0" xfId="0" applyFont="1" applyFill="1" applyBorder="1" applyAlignment="1">
      <alignment vertical="center"/>
    </xf>
    <xf numFmtId="0" fontId="30" fillId="0" borderId="0" xfId="0" applyFont="1" applyAlignment="1">
      <alignment vertical="center"/>
    </xf>
    <xf numFmtId="0" fontId="0" fillId="0" borderId="32" xfId="0" applyBorder="1"/>
    <xf numFmtId="0" fontId="0" fillId="0" borderId="33" xfId="0" applyBorder="1"/>
    <xf numFmtId="0" fontId="0" fillId="0" borderId="34" xfId="0" applyBorder="1"/>
    <xf numFmtId="0" fontId="0" fillId="0" borderId="35" xfId="0" applyBorder="1"/>
    <xf numFmtId="0" fontId="0" fillId="0" borderId="0" xfId="0" applyBorder="1"/>
    <xf numFmtId="0" fontId="0" fillId="5" borderId="36" xfId="0" applyFill="1" applyBorder="1" applyAlignment="1">
      <alignment horizontal="center"/>
    </xf>
    <xf numFmtId="0" fontId="0" fillId="0" borderId="37" xfId="0" applyBorder="1"/>
    <xf numFmtId="0" fontId="0" fillId="5" borderId="24" xfId="0" applyNumberFormat="1" applyFill="1" applyBorder="1"/>
    <xf numFmtId="167" fontId="0" fillId="10" borderId="36" xfId="0" applyNumberFormat="1" applyFill="1" applyBorder="1" applyAlignment="1">
      <alignment horizontal="center"/>
    </xf>
    <xf numFmtId="0" fontId="5" fillId="5" borderId="36" xfId="0" applyFont="1" applyFill="1" applyBorder="1" applyAlignment="1">
      <alignment horizontal="center"/>
    </xf>
    <xf numFmtId="167" fontId="0" fillId="5" borderId="36" xfId="3" applyNumberFormat="1" applyFont="1" applyFill="1" applyBorder="1" applyAlignment="1">
      <alignment horizontal="center"/>
    </xf>
    <xf numFmtId="9" fontId="0" fillId="5" borderId="36" xfId="0" applyNumberFormat="1" applyFill="1" applyBorder="1" applyAlignment="1">
      <alignment horizontal="center"/>
    </xf>
    <xf numFmtId="167" fontId="5" fillId="5" borderId="36" xfId="3" applyNumberFormat="1" applyFont="1" applyFill="1" applyBorder="1" applyAlignment="1">
      <alignment horizontal="center"/>
    </xf>
    <xf numFmtId="0" fontId="0" fillId="0" borderId="38" xfId="0" applyBorder="1"/>
    <xf numFmtId="0" fontId="0" fillId="0" borderId="39" xfId="0" applyBorder="1"/>
    <xf numFmtId="0" fontId="0" fillId="5" borderId="36" xfId="0" applyFill="1" applyBorder="1"/>
    <xf numFmtId="10" fontId="0" fillId="5" borderId="36" xfId="0" applyNumberFormat="1" applyFill="1" applyBorder="1" applyAlignment="1">
      <alignment horizontal="center"/>
    </xf>
    <xf numFmtId="0" fontId="0" fillId="0" borderId="40" xfId="0" applyBorder="1"/>
    <xf numFmtId="0" fontId="6" fillId="7" borderId="0" xfId="0" applyFont="1" applyFill="1" applyBorder="1" applyAlignment="1" applyProtection="1">
      <alignment vertical="center" wrapText="1"/>
      <protection hidden="1"/>
    </xf>
    <xf numFmtId="0" fontId="0" fillId="7" borderId="0" xfId="0" applyFill="1" applyAlignment="1" applyProtection="1">
      <alignment vertical="center"/>
      <protection hidden="1"/>
    </xf>
    <xf numFmtId="0" fontId="3" fillId="7" borderId="0" xfId="0" applyFont="1" applyFill="1" applyBorder="1" applyAlignment="1" applyProtection="1">
      <alignment horizontal="center" wrapText="1"/>
      <protection hidden="1"/>
    </xf>
    <xf numFmtId="0" fontId="3" fillId="7" borderId="2" xfId="0" applyFont="1" applyFill="1" applyBorder="1" applyAlignment="1" applyProtection="1">
      <alignment horizontal="center" wrapText="1"/>
      <protection hidden="1"/>
    </xf>
    <xf numFmtId="0" fontId="3" fillId="7" borderId="2" xfId="0" applyFont="1" applyFill="1" applyBorder="1" applyAlignment="1" applyProtection="1">
      <alignment vertical="center" wrapText="1"/>
      <protection hidden="1"/>
    </xf>
    <xf numFmtId="6" fontId="20" fillId="7" borderId="4" xfId="0" applyNumberFormat="1" applyFont="1" applyFill="1" applyBorder="1" applyAlignment="1" applyProtection="1">
      <alignment vertical="center"/>
      <protection hidden="1"/>
    </xf>
    <xf numFmtId="6" fontId="20" fillId="7" borderId="0" xfId="0" applyNumberFormat="1" applyFont="1" applyFill="1" applyBorder="1" applyAlignment="1" applyProtection="1">
      <alignment vertical="center"/>
      <protection hidden="1"/>
    </xf>
    <xf numFmtId="10" fontId="3" fillId="7" borderId="0" xfId="0" applyNumberFormat="1" applyFont="1" applyFill="1" applyBorder="1" applyAlignment="1" applyProtection="1">
      <alignment horizontal="center" wrapText="1"/>
      <protection hidden="1"/>
    </xf>
    <xf numFmtId="0" fontId="1" fillId="0" borderId="0" xfId="0" applyFont="1" applyAlignment="1" applyProtection="1">
      <alignment horizontal="center" vertical="top"/>
      <protection locked="0" hidden="1"/>
    </xf>
    <xf numFmtId="0" fontId="1" fillId="0" borderId="0" xfId="0" applyFont="1" applyAlignment="1" applyProtection="1">
      <alignment vertical="top"/>
      <protection locked="0" hidden="1"/>
    </xf>
    <xf numFmtId="0" fontId="35" fillId="0" borderId="0" xfId="0" applyFont="1" applyBorder="1" applyAlignment="1">
      <alignment vertical="center"/>
    </xf>
    <xf numFmtId="0" fontId="36" fillId="0" borderId="0" xfId="0" applyFont="1" applyAlignment="1">
      <alignment vertical="top"/>
    </xf>
    <xf numFmtId="0" fontId="13" fillId="0" borderId="0" xfId="0" applyFont="1" applyBorder="1" applyAlignment="1">
      <alignment vertical="center" wrapText="1"/>
    </xf>
    <xf numFmtId="0" fontId="0" fillId="0" borderId="0" xfId="0" applyFill="1" applyAlignment="1">
      <alignment vertical="center"/>
    </xf>
    <xf numFmtId="0" fontId="0" fillId="0" borderId="0" xfId="0" applyFill="1" applyAlignment="1" applyProtection="1">
      <alignment vertical="center"/>
      <protection hidden="1"/>
    </xf>
    <xf numFmtId="0" fontId="0" fillId="0" borderId="0" xfId="0" applyAlignment="1">
      <alignment horizontal="left" vertical="center"/>
    </xf>
    <xf numFmtId="0" fontId="0" fillId="0" borderId="0" xfId="0" applyBorder="1" applyAlignment="1">
      <alignment horizontal="left" vertical="center"/>
    </xf>
    <xf numFmtId="0" fontId="39"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vertical="center"/>
    </xf>
    <xf numFmtId="0" fontId="41" fillId="0" borderId="0" xfId="0" applyFont="1" applyFill="1" applyBorder="1" applyAlignment="1">
      <alignment horizontal="left" vertical="center"/>
    </xf>
    <xf numFmtId="0" fontId="40"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8" fontId="39" fillId="0" borderId="0" xfId="0" applyNumberFormat="1" applyFont="1" applyFill="1" applyBorder="1" applyAlignment="1">
      <alignment horizontal="left" vertical="center" wrapText="1"/>
    </xf>
    <xf numFmtId="8" fontId="39" fillId="0" borderId="0" xfId="0" applyNumberFormat="1" applyFont="1" applyFill="1" applyBorder="1" applyAlignment="1">
      <alignment vertical="center" wrapText="1"/>
    </xf>
    <xf numFmtId="0" fontId="2" fillId="0" borderId="0" xfId="0" applyFont="1" applyBorder="1" applyAlignment="1" applyProtection="1">
      <alignment vertical="center" wrapText="1"/>
    </xf>
    <xf numFmtId="0" fontId="1" fillId="8" borderId="5" xfId="0" applyFont="1" applyFill="1" applyBorder="1" applyAlignment="1">
      <alignment vertical="center"/>
    </xf>
    <xf numFmtId="0" fontId="0" fillId="0" borderId="12" xfId="0" applyBorder="1" applyAlignment="1" applyProtection="1">
      <alignment vertical="center"/>
    </xf>
    <xf numFmtId="0" fontId="0" fillId="0" borderId="0" xfId="0" applyAlignment="1">
      <alignment vertical="center" wrapText="1"/>
    </xf>
    <xf numFmtId="0" fontId="36" fillId="0" borderId="10" xfId="0" applyFont="1" applyBorder="1" applyAlignment="1">
      <alignment vertical="top"/>
    </xf>
    <xf numFmtId="0" fontId="0" fillId="0" borderId="0" xfId="0" applyAlignment="1" applyProtection="1">
      <alignment horizontal="left" vertical="center"/>
      <protection hidden="1"/>
    </xf>
    <xf numFmtId="0" fontId="5" fillId="5" borderId="4" xfId="0" applyFont="1" applyFill="1" applyBorder="1" applyAlignment="1"/>
    <xf numFmtId="0" fontId="0" fillId="0" borderId="4" xfId="0" applyFont="1" applyFill="1" applyBorder="1" applyAlignment="1"/>
    <xf numFmtId="6" fontId="1" fillId="2" borderId="4" xfId="0" applyNumberFormat="1" applyFont="1" applyFill="1" applyBorder="1" applyAlignment="1">
      <alignment vertical="center" wrapText="1"/>
    </xf>
    <xf numFmtId="0" fontId="0" fillId="0" borderId="0" xfId="0" applyFill="1" applyBorder="1" applyAlignment="1"/>
    <xf numFmtId="0" fontId="0" fillId="7" borderId="0" xfId="0" applyFill="1" applyAlignment="1" applyProtection="1">
      <alignment vertical="center"/>
    </xf>
    <xf numFmtId="0" fontId="0" fillId="7" borderId="0" xfId="0" applyFill="1" applyAlignment="1">
      <alignment vertical="center"/>
    </xf>
    <xf numFmtId="0" fontId="30" fillId="7" borderId="0" xfId="0" applyFont="1" applyFill="1" applyAlignment="1">
      <alignment vertical="center"/>
    </xf>
    <xf numFmtId="0" fontId="1" fillId="7" borderId="0" xfId="0" applyFont="1" applyFill="1" applyAlignment="1">
      <alignment vertical="center"/>
    </xf>
    <xf numFmtId="0" fontId="0" fillId="7" borderId="0" xfId="0" applyFill="1"/>
    <xf numFmtId="0" fontId="0" fillId="7" borderId="0" xfId="0" applyFill="1" applyBorder="1"/>
    <xf numFmtId="6" fontId="1" fillId="7" borderId="4" xfId="0" applyNumberFormat="1" applyFont="1" applyFill="1" applyBorder="1" applyAlignment="1">
      <alignment horizontal="right" vertical="center" wrapText="1"/>
    </xf>
    <xf numFmtId="0" fontId="1" fillId="7" borderId="0" xfId="0" applyFont="1" applyFill="1" applyAlignment="1" applyProtection="1">
      <alignment vertical="center"/>
      <protection hidden="1"/>
    </xf>
    <xf numFmtId="0" fontId="11" fillId="7" borderId="0" xfId="0" applyFont="1" applyFill="1" applyAlignment="1" applyProtection="1">
      <alignment vertical="center"/>
    </xf>
    <xf numFmtId="0" fontId="6" fillId="7" borderId="1" xfId="0" applyFont="1" applyFill="1" applyBorder="1" applyAlignment="1" applyProtection="1">
      <alignment vertical="center" wrapText="1"/>
    </xf>
    <xf numFmtId="0" fontId="10" fillId="7" borderId="4" xfId="0" applyFont="1" applyFill="1" applyBorder="1" applyAlignment="1" applyProtection="1">
      <alignment vertical="center" wrapText="1"/>
    </xf>
    <xf numFmtId="0" fontId="10" fillId="7" borderId="4" xfId="0" applyFont="1" applyFill="1" applyBorder="1" applyAlignment="1" applyProtection="1">
      <alignment vertical="center"/>
    </xf>
    <xf numFmtId="2" fontId="0" fillId="7" borderId="0" xfId="0" applyNumberFormat="1" applyFill="1" applyAlignment="1" applyProtection="1">
      <alignment vertical="center"/>
    </xf>
    <xf numFmtId="0" fontId="1" fillId="7" borderId="0" xfId="0" applyFont="1" applyFill="1" applyAlignment="1" applyProtection="1">
      <alignment horizontal="center" vertical="top"/>
      <protection locked="0" hidden="1"/>
    </xf>
    <xf numFmtId="0" fontId="1" fillId="7" borderId="0" xfId="0" applyFont="1" applyFill="1" applyAlignment="1" applyProtection="1">
      <alignment vertical="top"/>
      <protection locked="0" hidden="1"/>
    </xf>
    <xf numFmtId="0" fontId="1" fillId="7" borderId="0" xfId="0" applyFont="1" applyFill="1" applyAlignment="1" applyProtection="1">
      <alignment horizontal="center" vertical="center"/>
      <protection locked="0" hidden="1"/>
    </xf>
    <xf numFmtId="9" fontId="1" fillId="7" borderId="0" xfId="0" applyNumberFormat="1" applyFont="1" applyFill="1" applyAlignment="1" applyProtection="1">
      <alignment horizontal="center" vertical="center"/>
      <protection locked="0" hidden="1"/>
    </xf>
    <xf numFmtId="6" fontId="11" fillId="7" borderId="0" xfId="0" applyNumberFormat="1" applyFont="1" applyFill="1" applyAlignment="1">
      <alignment horizontal="center"/>
    </xf>
    <xf numFmtId="0" fontId="1" fillId="7" borderId="0" xfId="0" applyFont="1" applyFill="1" applyAlignment="1" applyProtection="1">
      <alignment vertical="center"/>
      <protection locked="0" hidden="1"/>
    </xf>
    <xf numFmtId="0" fontId="5" fillId="7" borderId="4" xfId="0" applyFont="1" applyFill="1" applyBorder="1" applyAlignment="1">
      <alignment horizontal="center"/>
    </xf>
    <xf numFmtId="0" fontId="5" fillId="7" borderId="4" xfId="0" applyFont="1" applyFill="1" applyBorder="1"/>
    <xf numFmtId="0" fontId="1" fillId="7" borderId="0" xfId="0" applyFont="1" applyFill="1" applyBorder="1" applyAlignment="1" applyProtection="1">
      <alignment horizontal="center" vertical="center"/>
      <protection locked="0" hidden="1"/>
    </xf>
    <xf numFmtId="0" fontId="2" fillId="7" borderId="0" xfId="0" applyFont="1" applyFill="1" applyBorder="1" applyAlignment="1">
      <alignment vertical="center"/>
    </xf>
    <xf numFmtId="0" fontId="1" fillId="7" borderId="0" xfId="0" applyFont="1" applyFill="1" applyBorder="1" applyAlignment="1">
      <alignment vertical="center"/>
    </xf>
    <xf numFmtId="0" fontId="2" fillId="7" borderId="0" xfId="0" applyFont="1" applyFill="1" applyBorder="1" applyAlignment="1">
      <alignment vertical="center" wrapText="1"/>
    </xf>
    <xf numFmtId="0" fontId="11" fillId="7" borderId="0" xfId="0" applyFont="1" applyFill="1" applyAlignment="1">
      <alignment vertical="center"/>
    </xf>
    <xf numFmtId="0" fontId="11" fillId="7" borderId="0" xfId="0" applyFont="1" applyFill="1" applyAlignment="1" applyProtection="1">
      <alignment vertical="center"/>
      <protection hidden="1"/>
    </xf>
    <xf numFmtId="0" fontId="11" fillId="7" borderId="0" xfId="0" applyFont="1" applyFill="1" applyBorder="1" applyAlignment="1" applyProtection="1">
      <alignment horizontal="left" vertical="center"/>
      <protection hidden="1"/>
    </xf>
    <xf numFmtId="0" fontId="11" fillId="7" borderId="4" xfId="0" applyFont="1" applyFill="1" applyBorder="1" applyAlignment="1" applyProtection="1">
      <alignment horizontal="left" vertical="center"/>
      <protection hidden="1"/>
    </xf>
    <xf numFmtId="0" fontId="11" fillId="0" borderId="0" xfId="0" applyFont="1" applyFill="1" applyAlignment="1">
      <alignment vertical="center"/>
    </xf>
    <xf numFmtId="0" fontId="5" fillId="9" borderId="36" xfId="0" applyFont="1" applyFill="1" applyBorder="1" applyAlignment="1">
      <alignment horizontal="center"/>
    </xf>
    <xf numFmtId="167" fontId="0" fillId="9" borderId="36" xfId="3" applyNumberFormat="1" applyFont="1" applyFill="1" applyBorder="1" applyAlignment="1">
      <alignment horizontal="center"/>
    </xf>
    <xf numFmtId="167" fontId="5" fillId="9" borderId="36" xfId="3" applyNumberFormat="1" applyFont="1" applyFill="1" applyBorder="1" applyAlignment="1">
      <alignment horizontal="center"/>
    </xf>
    <xf numFmtId="0" fontId="0" fillId="9" borderId="36" xfId="0" applyFill="1" applyBorder="1"/>
    <xf numFmtId="10" fontId="0" fillId="9" borderId="36" xfId="0" applyNumberFormat="1" applyFill="1" applyBorder="1" applyAlignment="1">
      <alignment horizontal="center"/>
    </xf>
    <xf numFmtId="0" fontId="2" fillId="9" borderId="0" xfId="0" applyFont="1" applyFill="1" applyBorder="1" applyAlignment="1">
      <alignment vertical="center" wrapText="1"/>
    </xf>
    <xf numFmtId="0" fontId="31" fillId="9" borderId="0" xfId="0" applyFont="1" applyFill="1" applyBorder="1" applyAlignment="1">
      <alignment vertical="center" wrapText="1"/>
    </xf>
    <xf numFmtId="6" fontId="1" fillId="9" borderId="0" xfId="0" applyNumberFormat="1" applyFont="1" applyFill="1" applyBorder="1" applyAlignment="1" applyProtection="1">
      <alignment vertical="center"/>
      <protection locked="0"/>
    </xf>
    <xf numFmtId="0" fontId="0" fillId="9" borderId="0" xfId="0" applyFill="1" applyBorder="1" applyAlignment="1">
      <alignment vertical="center"/>
    </xf>
    <xf numFmtId="0" fontId="1" fillId="9" borderId="0" xfId="0" applyFont="1" applyFill="1" applyBorder="1" applyAlignment="1">
      <alignment vertical="center"/>
    </xf>
    <xf numFmtId="0" fontId="1" fillId="9" borderId="0" xfId="0" applyFont="1" applyFill="1" applyBorder="1" applyAlignment="1" applyProtection="1">
      <alignment vertical="center"/>
      <protection locked="0"/>
    </xf>
    <xf numFmtId="167" fontId="1" fillId="9" borderId="0" xfId="0" applyNumberFormat="1" applyFont="1" applyFill="1" applyBorder="1" applyAlignment="1" applyProtection="1">
      <alignment vertical="center"/>
      <protection locked="0"/>
    </xf>
    <xf numFmtId="10" fontId="1" fillId="9" borderId="0" xfId="1" applyNumberFormat="1" applyFont="1" applyFill="1" applyBorder="1" applyAlignment="1" applyProtection="1">
      <alignment vertical="center"/>
      <protection locked="0"/>
    </xf>
    <xf numFmtId="0" fontId="21" fillId="9" borderId="0" xfId="0" applyFont="1" applyFill="1" applyBorder="1" applyAlignment="1">
      <alignment vertical="center"/>
    </xf>
    <xf numFmtId="0" fontId="0" fillId="7" borderId="0" xfId="0" applyFill="1" applyBorder="1" applyAlignment="1" applyProtection="1">
      <alignment vertical="center"/>
      <protection hidden="1"/>
    </xf>
    <xf numFmtId="0" fontId="0" fillId="7" borderId="0" xfId="0" applyFill="1" applyBorder="1" applyAlignment="1">
      <alignment vertical="center"/>
    </xf>
    <xf numFmtId="0" fontId="30" fillId="7" borderId="0" xfId="0" applyFont="1" applyFill="1" applyBorder="1" applyAlignment="1" applyProtection="1">
      <alignment vertical="center"/>
      <protection hidden="1"/>
    </xf>
    <xf numFmtId="6" fontId="1" fillId="7" borderId="0" xfId="0" applyNumberFormat="1" applyFont="1" applyFill="1" applyBorder="1" applyAlignment="1">
      <alignment horizontal="right" vertical="center" wrapText="1"/>
    </xf>
    <xf numFmtId="9" fontId="0" fillId="7" borderId="0" xfId="1" applyFont="1" applyFill="1" applyBorder="1"/>
    <xf numFmtId="0" fontId="0" fillId="7" borderId="0" xfId="0" applyNumberFormat="1" applyFill="1" applyBorder="1"/>
    <xf numFmtId="6" fontId="0" fillId="7" borderId="0" xfId="0" applyNumberFormat="1" applyFill="1" applyBorder="1"/>
    <xf numFmtId="167" fontId="0" fillId="7" borderId="0" xfId="0" applyNumberFormat="1" applyFill="1" applyBorder="1" applyAlignment="1">
      <alignment horizontal="center"/>
    </xf>
    <xf numFmtId="9" fontId="0" fillId="7" borderId="0" xfId="1" applyFont="1" applyFill="1" applyBorder="1" applyAlignment="1">
      <alignment horizontal="right"/>
    </xf>
    <xf numFmtId="6" fontId="1" fillId="7" borderId="0" xfId="0" applyNumberFormat="1" applyFont="1" applyFill="1" applyBorder="1" applyAlignment="1">
      <alignment horizontal="left" vertical="center" wrapText="1"/>
    </xf>
    <xf numFmtId="0" fontId="5" fillId="7" borderId="0" xfId="0" applyFont="1" applyFill="1" applyBorder="1" applyAlignment="1">
      <alignment horizontal="center"/>
    </xf>
    <xf numFmtId="167" fontId="5" fillId="7" borderId="0" xfId="0" applyNumberFormat="1" applyFont="1" applyFill="1" applyBorder="1" applyAlignment="1">
      <alignment horizontal="center"/>
    </xf>
    <xf numFmtId="167" fontId="0" fillId="7" borderId="0" xfId="3" applyNumberFormat="1" applyFont="1" applyFill="1" applyBorder="1" applyAlignment="1">
      <alignment horizontal="center"/>
    </xf>
    <xf numFmtId="9" fontId="0" fillId="7" borderId="0" xfId="0" applyNumberFormat="1" applyFill="1" applyBorder="1" applyAlignment="1">
      <alignment horizontal="center"/>
    </xf>
    <xf numFmtId="0" fontId="1" fillId="7" borderId="0" xfId="0" applyFont="1" applyFill="1" applyBorder="1" applyAlignment="1" applyProtection="1">
      <alignment vertical="center"/>
      <protection hidden="1"/>
    </xf>
    <xf numFmtId="10" fontId="0" fillId="7" borderId="0" xfId="1" applyNumberFormat="1" applyFont="1" applyFill="1" applyBorder="1" applyAlignment="1">
      <alignment horizontal="center"/>
    </xf>
    <xf numFmtId="0" fontId="6" fillId="2" borderId="0" xfId="0" applyFont="1" applyFill="1" applyBorder="1" applyAlignment="1">
      <alignment vertical="center"/>
    </xf>
    <xf numFmtId="0" fontId="36" fillId="7" borderId="0" xfId="0" applyFont="1" applyFill="1" applyAlignment="1" applyProtection="1">
      <alignment vertical="center"/>
      <protection hidden="1"/>
    </xf>
    <xf numFmtId="0" fontId="50" fillId="7" borderId="0" xfId="0" applyFont="1" applyFill="1" applyBorder="1" applyAlignment="1" applyProtection="1">
      <alignment vertical="center" wrapText="1"/>
      <protection hidden="1"/>
    </xf>
    <xf numFmtId="0" fontId="36" fillId="7" borderId="0" xfId="0" applyFont="1" applyFill="1" applyAlignment="1">
      <alignment vertical="center"/>
    </xf>
    <xf numFmtId="0" fontId="36" fillId="0" borderId="0" xfId="0" applyFont="1" applyAlignment="1">
      <alignment vertical="center"/>
    </xf>
    <xf numFmtId="1" fontId="1" fillId="0" borderId="0" xfId="0" applyNumberFormat="1" applyFont="1" applyBorder="1" applyAlignment="1">
      <alignment horizontal="left" vertical="center"/>
    </xf>
    <xf numFmtId="1" fontId="1" fillId="0" borderId="0" xfId="0" applyNumberFormat="1" applyFont="1" applyBorder="1" applyAlignment="1">
      <alignment vertical="center"/>
    </xf>
    <xf numFmtId="1" fontId="15" fillId="0" borderId="0" xfId="2" applyNumberFormat="1" applyBorder="1" applyAlignment="1">
      <alignment vertical="center"/>
    </xf>
    <xf numFmtId="6" fontId="1" fillId="0" borderId="0" xfId="0" applyNumberFormat="1" applyFont="1" applyBorder="1" applyAlignment="1">
      <alignment vertical="center"/>
    </xf>
    <xf numFmtId="0" fontId="5" fillId="0" borderId="0" xfId="0" applyFont="1" applyAlignment="1"/>
    <xf numFmtId="9" fontId="1" fillId="7" borderId="0" xfId="1" applyFont="1" applyFill="1" applyAlignment="1">
      <alignment horizontal="center" vertical="center"/>
    </xf>
    <xf numFmtId="0" fontId="44" fillId="7" borderId="0" xfId="0" applyFont="1" applyFill="1" applyAlignment="1">
      <alignment vertical="center"/>
    </xf>
    <xf numFmtId="6" fontId="1" fillId="7" borderId="0" xfId="0" applyNumberFormat="1" applyFont="1" applyFill="1" applyAlignment="1">
      <alignment vertical="center"/>
    </xf>
    <xf numFmtId="6" fontId="22" fillId="7" borderId="0" xfId="0" applyNumberFormat="1" applyFont="1" applyFill="1" applyBorder="1" applyAlignment="1">
      <alignment vertical="center"/>
    </xf>
    <xf numFmtId="0" fontId="51" fillId="7" borderId="0" xfId="2" applyFont="1" applyFill="1" applyBorder="1" applyAlignment="1">
      <alignment vertical="center"/>
    </xf>
    <xf numFmtId="0" fontId="51" fillId="14" borderId="0" xfId="2" applyFont="1" applyFill="1" applyBorder="1" applyAlignment="1">
      <alignment vertical="center"/>
    </xf>
    <xf numFmtId="6" fontId="46" fillId="14" borderId="0" xfId="0" applyNumberFormat="1" applyFont="1" applyFill="1" applyBorder="1" applyAlignment="1">
      <alignment vertical="center"/>
    </xf>
    <xf numFmtId="0" fontId="10" fillId="14" borderId="0" xfId="0" applyFont="1" applyFill="1" applyBorder="1" applyAlignment="1" applyProtection="1">
      <alignment vertical="center"/>
      <protection hidden="1"/>
    </xf>
    <xf numFmtId="6" fontId="1" fillId="7" borderId="0" xfId="0" applyNumberFormat="1" applyFont="1" applyFill="1" applyBorder="1" applyAlignment="1" applyProtection="1">
      <alignment vertical="center"/>
      <protection hidden="1"/>
    </xf>
    <xf numFmtId="0" fontId="11" fillId="7" borderId="4" xfId="0" applyFont="1" applyFill="1" applyBorder="1" applyAlignment="1" applyProtection="1">
      <alignment horizontal="center" vertical="center"/>
      <protection locked="0"/>
    </xf>
    <xf numFmtId="9" fontId="11" fillId="7" borderId="4" xfId="0" applyNumberFormat="1" applyFont="1" applyFill="1" applyBorder="1" applyAlignment="1" applyProtection="1">
      <alignment horizontal="center" vertical="center"/>
      <protection locked="0"/>
    </xf>
    <xf numFmtId="0" fontId="1" fillId="7" borderId="0" xfId="0" applyFont="1" applyFill="1" applyAlignment="1" applyProtection="1">
      <alignment vertical="center"/>
    </xf>
    <xf numFmtId="0" fontId="0" fillId="0" borderId="0" xfId="0" applyAlignment="1" applyProtection="1">
      <alignment vertical="center"/>
      <protection locked="0"/>
    </xf>
    <xf numFmtId="6" fontId="46" fillId="7" borderId="0" xfId="0" applyNumberFormat="1" applyFont="1" applyFill="1" applyBorder="1" applyAlignment="1">
      <alignment vertical="center"/>
    </xf>
    <xf numFmtId="0" fontId="10" fillId="7" borderId="0" xfId="0" applyFont="1" applyFill="1" applyBorder="1" applyAlignment="1" applyProtection="1">
      <alignment vertical="center"/>
      <protection hidden="1"/>
    </xf>
    <xf numFmtId="0" fontId="11" fillId="7" borderId="0" xfId="0" applyFont="1" applyFill="1" applyAlignment="1" applyProtection="1">
      <alignment vertical="center"/>
      <protection hidden="1"/>
    </xf>
    <xf numFmtId="0" fontId="0" fillId="0" borderId="0" xfId="0" applyBorder="1" applyAlignment="1" applyProtection="1">
      <alignment vertical="center"/>
      <protection locked="0"/>
    </xf>
    <xf numFmtId="0" fontId="0" fillId="0" borderId="0" xfId="0" applyAlignment="1" applyProtection="1">
      <alignment horizontal="left" vertical="center"/>
      <protection locked="0" hidden="1"/>
    </xf>
    <xf numFmtId="0" fontId="0" fillId="0" borderId="4" xfId="0" applyBorder="1" applyAlignment="1" applyProtection="1">
      <alignment horizontal="center" vertical="center"/>
      <protection locked="0"/>
    </xf>
    <xf numFmtId="0" fontId="0" fillId="0" borderId="0" xfId="0" applyBorder="1" applyAlignment="1" applyProtection="1">
      <alignment horizontal="left" vertical="center"/>
      <protection locked="0"/>
    </xf>
    <xf numFmtId="0" fontId="10" fillId="7" borderId="0" xfId="0" applyFont="1" applyFill="1" applyBorder="1" applyAlignment="1" applyProtection="1">
      <alignment vertical="center" wrapText="1"/>
    </xf>
    <xf numFmtId="0" fontId="54" fillId="7" borderId="0" xfId="0" applyFont="1" applyFill="1" applyAlignment="1">
      <alignment horizontal="left" vertical="center"/>
    </xf>
    <xf numFmtId="0" fontId="25" fillId="7" borderId="0" xfId="0" applyFont="1" applyFill="1" applyBorder="1" applyAlignment="1" applyProtection="1">
      <alignment horizontal="left" vertical="center" wrapText="1"/>
    </xf>
    <xf numFmtId="0" fontId="25" fillId="7" borderId="0" xfId="0" applyFont="1" applyFill="1" applyBorder="1" applyAlignment="1" applyProtection="1">
      <alignment vertical="center" wrapText="1"/>
    </xf>
    <xf numFmtId="0" fontId="53" fillId="7" borderId="0" xfId="0" applyFont="1" applyFill="1" applyAlignment="1" applyProtection="1">
      <alignment vertical="center"/>
      <protection hidden="1"/>
    </xf>
    <xf numFmtId="0" fontId="11" fillId="7" borderId="0" xfId="0" applyFont="1" applyFill="1" applyAlignment="1" applyProtection="1">
      <alignment horizontal="center" vertical="top"/>
      <protection locked="0" hidden="1"/>
    </xf>
    <xf numFmtId="0" fontId="11" fillId="7" borderId="0" xfId="0" applyFont="1" applyFill="1" applyAlignment="1" applyProtection="1">
      <alignment vertical="top"/>
      <protection locked="0" hidden="1"/>
    </xf>
    <xf numFmtId="0" fontId="11" fillId="0" borderId="0" xfId="0" applyFont="1" applyAlignment="1" applyProtection="1">
      <alignment vertical="top"/>
      <protection locked="0" hidden="1"/>
    </xf>
    <xf numFmtId="167" fontId="0" fillId="7" borderId="0" xfId="0" quotePrefix="1" applyNumberFormat="1" applyFill="1" applyBorder="1" applyAlignment="1">
      <alignment horizontal="right" vertical="center"/>
    </xf>
    <xf numFmtId="167" fontId="0" fillId="7" borderId="0" xfId="0" applyNumberFormat="1" applyFill="1" applyBorder="1" applyAlignment="1">
      <alignment vertical="center"/>
    </xf>
    <xf numFmtId="0" fontId="39" fillId="0" borderId="4" xfId="0" applyFont="1" applyFill="1" applyBorder="1" applyAlignment="1" applyProtection="1">
      <alignment horizontal="center" vertical="center"/>
      <protection locked="0"/>
    </xf>
    <xf numFmtId="0" fontId="0" fillId="7" borderId="0" xfId="0" applyFill="1" applyAlignment="1" applyProtection="1">
      <alignment vertical="center"/>
      <protection locked="0" hidden="1"/>
    </xf>
    <xf numFmtId="0" fontId="39" fillId="0" borderId="0" xfId="0" applyFont="1" applyFill="1" applyBorder="1" applyAlignment="1" applyProtection="1">
      <alignment horizontal="left" vertical="center"/>
    </xf>
    <xf numFmtId="0" fontId="42" fillId="0" borderId="0" xfId="0" applyFont="1"/>
    <xf numFmtId="0" fontId="56" fillId="0" borderId="0" xfId="0" applyFont="1"/>
    <xf numFmtId="0" fontId="0" fillId="0" borderId="33" xfId="0" applyBorder="1" applyAlignment="1">
      <alignment horizontal="center"/>
    </xf>
    <xf numFmtId="0" fontId="0" fillId="0" borderId="33" xfId="0" applyBorder="1" applyAlignment="1">
      <alignment horizontal="left"/>
    </xf>
    <xf numFmtId="0" fontId="0" fillId="0" borderId="34" xfId="0" applyBorder="1" applyAlignment="1" applyProtection="1">
      <alignment horizontal="left"/>
    </xf>
    <xf numFmtId="0" fontId="0" fillId="0" borderId="0" xfId="0" applyBorder="1" applyProtection="1"/>
    <xf numFmtId="0" fontId="0" fillId="0" borderId="32" xfId="0" applyBorder="1" applyProtection="1"/>
    <xf numFmtId="0" fontId="0" fillId="0" borderId="33" xfId="0" applyBorder="1" applyProtection="1"/>
    <xf numFmtId="0" fontId="56" fillId="0" borderId="33" xfId="0" applyFont="1" applyBorder="1"/>
    <xf numFmtId="0" fontId="42" fillId="0" borderId="34" xfId="0" applyFont="1" applyBorder="1"/>
    <xf numFmtId="0" fontId="59" fillId="0" borderId="37" xfId="0" applyFont="1" applyBorder="1" applyAlignment="1" applyProtection="1">
      <alignment horizontal="left"/>
    </xf>
    <xf numFmtId="0" fontId="0" fillId="0" borderId="35" xfId="0" applyBorder="1" applyProtection="1"/>
    <xf numFmtId="0" fontId="0" fillId="0" borderId="0" xfId="0" applyBorder="1" applyAlignment="1" applyProtection="1"/>
    <xf numFmtId="0" fontId="42" fillId="0" borderId="37" xfId="0" applyFont="1" applyBorder="1"/>
    <xf numFmtId="167" fontId="60" fillId="0" borderId="37" xfId="0" applyNumberFormat="1" applyFont="1" applyBorder="1" applyAlignment="1" applyProtection="1">
      <alignment horizontal="left"/>
    </xf>
    <xf numFmtId="0" fontId="0" fillId="0" borderId="0" xfId="0" applyBorder="1" applyAlignment="1">
      <alignment horizontal="center"/>
    </xf>
    <xf numFmtId="0" fontId="0" fillId="0" borderId="0" xfId="0" applyBorder="1" applyAlignment="1">
      <alignment horizontal="left"/>
    </xf>
    <xf numFmtId="167" fontId="61" fillId="0" borderId="37" xfId="0" applyNumberFormat="1" applyFont="1" applyBorder="1" applyAlignment="1" applyProtection="1">
      <alignment horizontal="left"/>
    </xf>
    <xf numFmtId="0" fontId="58" fillId="0" borderId="0" xfId="0" applyFont="1" applyBorder="1" applyAlignment="1"/>
    <xf numFmtId="169" fontId="62" fillId="0" borderId="58" xfId="0" applyNumberFormat="1" applyFont="1" applyBorder="1" applyAlignment="1" applyProtection="1">
      <alignment horizontal="center"/>
      <protection locked="0"/>
    </xf>
    <xf numFmtId="169" fontId="62" fillId="0" borderId="0" xfId="0" applyNumberFormat="1" applyFont="1" applyBorder="1" applyAlignment="1" applyProtection="1">
      <alignment horizontal="left"/>
    </xf>
    <xf numFmtId="169" fontId="62" fillId="8" borderId="58" xfId="0" applyNumberFormat="1" applyFont="1" applyFill="1" applyBorder="1" applyAlignment="1" applyProtection="1">
      <alignment horizontal="center"/>
    </xf>
    <xf numFmtId="0" fontId="48" fillId="0" borderId="0" xfId="0" applyFont="1" applyBorder="1" applyProtection="1"/>
    <xf numFmtId="0" fontId="42" fillId="0" borderId="0" xfId="0" applyFont="1" applyAlignment="1"/>
    <xf numFmtId="168" fontId="0" fillId="0" borderId="0" xfId="0" applyNumberFormat="1"/>
    <xf numFmtId="0" fontId="42" fillId="0" borderId="0" xfId="0" applyFont="1" applyBorder="1"/>
    <xf numFmtId="167" fontId="62" fillId="0" borderId="58" xfId="0" applyNumberFormat="1" applyFont="1" applyBorder="1" applyAlignment="1" applyProtection="1">
      <alignment horizontal="center"/>
      <protection locked="0"/>
    </xf>
    <xf numFmtId="167" fontId="62" fillId="0" borderId="0" xfId="0" applyNumberFormat="1" applyFont="1" applyBorder="1" applyAlignment="1" applyProtection="1">
      <alignment horizontal="left"/>
    </xf>
    <xf numFmtId="0" fontId="63" fillId="8" borderId="58" xfId="0" applyNumberFormat="1" applyFont="1" applyFill="1" applyBorder="1" applyAlignment="1">
      <alignment horizontal="center"/>
    </xf>
    <xf numFmtId="167" fontId="62" fillId="0" borderId="37" xfId="0" applyNumberFormat="1" applyFont="1" applyBorder="1" applyAlignment="1" applyProtection="1">
      <alignment horizontal="left"/>
    </xf>
    <xf numFmtId="0" fontId="64" fillId="0" borderId="0" xfId="0" applyFont="1" applyBorder="1" applyAlignment="1">
      <alignment horizontal="right"/>
    </xf>
    <xf numFmtId="168" fontId="0" fillId="0" borderId="0" xfId="0" applyNumberFormat="1" applyBorder="1" applyProtection="1"/>
    <xf numFmtId="168" fontId="0" fillId="0" borderId="35" xfId="0" applyNumberFormat="1" applyBorder="1" applyProtection="1"/>
    <xf numFmtId="0" fontId="65" fillId="0" borderId="0" xfId="0" applyFont="1" applyBorder="1"/>
    <xf numFmtId="167" fontId="66" fillId="4" borderId="36" xfId="0" applyNumberFormat="1" applyFont="1" applyFill="1" applyBorder="1" applyAlignment="1" applyProtection="1">
      <alignment horizontal="center"/>
    </xf>
    <xf numFmtId="167" fontId="66" fillId="4" borderId="59" xfId="0" applyNumberFormat="1" applyFont="1" applyFill="1" applyBorder="1" applyAlignment="1" applyProtection="1">
      <alignment horizontal="center"/>
    </xf>
    <xf numFmtId="0" fontId="58" fillId="0" borderId="0" xfId="0" applyFont="1" applyFill="1" applyBorder="1" applyAlignment="1"/>
    <xf numFmtId="0" fontId="58" fillId="0" borderId="0" xfId="0" applyFont="1" applyBorder="1" applyAlignment="1" applyProtection="1"/>
    <xf numFmtId="167" fontId="66" fillId="10" borderId="59" xfId="0" applyNumberFormat="1" applyFont="1" applyFill="1" applyBorder="1" applyAlignment="1" applyProtection="1">
      <alignment horizontal="center"/>
    </xf>
    <xf numFmtId="167" fontId="66" fillId="8" borderId="59" xfId="0" applyNumberFormat="1" applyFont="1" applyFill="1" applyBorder="1" applyAlignment="1" applyProtection="1">
      <alignment horizontal="center"/>
    </xf>
    <xf numFmtId="167" fontId="58" fillId="8" borderId="59" xfId="0" applyNumberFormat="1" applyFont="1" applyFill="1" applyBorder="1" applyAlignment="1" applyProtection="1">
      <alignment horizontal="center"/>
    </xf>
    <xf numFmtId="0" fontId="0" fillId="5" borderId="25" xfId="0" applyFill="1" applyBorder="1"/>
    <xf numFmtId="0" fontId="0" fillId="10" borderId="36" xfId="0" applyFill="1" applyBorder="1"/>
    <xf numFmtId="0" fontId="0" fillId="10" borderId="36" xfId="0" applyNumberFormat="1" applyFill="1" applyBorder="1"/>
    <xf numFmtId="167" fontId="62" fillId="0" borderId="0" xfId="0" applyNumberFormat="1" applyFont="1" applyBorder="1" applyAlignment="1" applyProtection="1">
      <alignment horizontal="center"/>
    </xf>
    <xf numFmtId="167" fontId="65" fillId="0" borderId="0" xfId="0" applyNumberFormat="1" applyFont="1" applyBorder="1" applyAlignment="1" applyProtection="1">
      <alignment horizontal="center"/>
    </xf>
    <xf numFmtId="167" fontId="59" fillId="0" borderId="0" xfId="0" applyNumberFormat="1" applyFont="1" applyBorder="1" applyAlignment="1" applyProtection="1">
      <alignment horizontal="center"/>
    </xf>
    <xf numFmtId="0" fontId="59" fillId="0" borderId="0" xfId="0" applyFont="1" applyBorder="1" applyAlignment="1" applyProtection="1"/>
    <xf numFmtId="168" fontId="65" fillId="0" borderId="0" xfId="0" applyNumberFormat="1" applyFont="1" applyBorder="1" applyProtection="1"/>
    <xf numFmtId="0" fontId="0" fillId="0" borderId="39" xfId="0" applyBorder="1" applyAlignment="1" applyProtection="1">
      <alignment horizontal="center"/>
    </xf>
    <xf numFmtId="0" fontId="0" fillId="0" borderId="39" xfId="0" applyBorder="1" applyAlignment="1">
      <alignment horizontal="center"/>
    </xf>
    <xf numFmtId="0" fontId="0" fillId="0" borderId="38" xfId="0" applyBorder="1" applyProtection="1"/>
    <xf numFmtId="0" fontId="0" fillId="0" borderId="39" xfId="0" applyBorder="1" applyProtection="1"/>
    <xf numFmtId="168" fontId="0" fillId="0" borderId="39" xfId="0" applyNumberFormat="1" applyBorder="1" applyProtection="1"/>
    <xf numFmtId="0" fontId="42" fillId="0" borderId="40" xfId="0" applyFont="1" applyBorder="1"/>
    <xf numFmtId="0" fontId="59" fillId="0" borderId="0" xfId="0" applyFont="1" applyAlignment="1"/>
    <xf numFmtId="168" fontId="0" fillId="0" borderId="0" xfId="0" applyNumberFormat="1" applyAlignment="1" applyProtection="1">
      <alignment horizontal="center"/>
    </xf>
    <xf numFmtId="168" fontId="0" fillId="0" borderId="0" xfId="0" applyNumberFormat="1" applyAlignment="1">
      <alignment horizontal="left"/>
    </xf>
    <xf numFmtId="168" fontId="0" fillId="0" borderId="0" xfId="0" applyNumberFormat="1" applyAlignment="1">
      <alignment horizontal="center"/>
    </xf>
    <xf numFmtId="168" fontId="0" fillId="0" borderId="0" xfId="0" applyNumberFormat="1" applyAlignment="1" applyProtection="1">
      <alignment horizontal="left"/>
    </xf>
    <xf numFmtId="168" fontId="0" fillId="0" borderId="0" xfId="0" applyNumberFormat="1" applyProtection="1"/>
    <xf numFmtId="168" fontId="42" fillId="0" borderId="0" xfId="0" applyNumberFormat="1" applyFont="1"/>
    <xf numFmtId="0" fontId="0" fillId="0" borderId="0" xfId="0" applyProtection="1"/>
    <xf numFmtId="0" fontId="0" fillId="0" borderId="0" xfId="0" applyAlignment="1">
      <alignment horizontal="left"/>
    </xf>
    <xf numFmtId="0" fontId="0" fillId="0" borderId="5" xfId="0" applyBorder="1" applyAlignment="1" applyProtection="1">
      <alignment horizontal="center"/>
      <protection locked="0"/>
    </xf>
    <xf numFmtId="0" fontId="56" fillId="0" borderId="39" xfId="0" applyFont="1" applyBorder="1"/>
    <xf numFmtId="9" fontId="48" fillId="0" borderId="6" xfId="1" applyFont="1" applyBorder="1" applyAlignment="1"/>
    <xf numFmtId="167" fontId="0" fillId="0" borderId="7" xfId="0" applyNumberFormat="1" applyBorder="1" applyAlignment="1"/>
    <xf numFmtId="0" fontId="0" fillId="0" borderId="0" xfId="0" applyAlignment="1">
      <alignment horizontal="left"/>
    </xf>
    <xf numFmtId="0" fontId="0" fillId="0" borderId="53" xfId="0" applyBorder="1"/>
    <xf numFmtId="0" fontId="0" fillId="0" borderId="61" xfId="0" applyBorder="1"/>
    <xf numFmtId="0" fontId="56" fillId="0" borderId="0" xfId="0" applyFont="1" applyBorder="1"/>
    <xf numFmtId="0" fontId="0" fillId="0" borderId="54" xfId="0" applyBorder="1"/>
    <xf numFmtId="0" fontId="0" fillId="0" borderId="0" xfId="0" applyBorder="1" applyAlignment="1" applyProtection="1">
      <alignment horizontal="left"/>
    </xf>
    <xf numFmtId="0" fontId="59" fillId="0" borderId="0" xfId="0" applyFont="1" applyBorder="1" applyAlignment="1" applyProtection="1">
      <alignment horizontal="left"/>
    </xf>
    <xf numFmtId="167" fontId="60" fillId="0" borderId="0" xfId="0" applyNumberFormat="1" applyFont="1" applyBorder="1" applyAlignment="1" applyProtection="1">
      <alignment horizontal="left"/>
    </xf>
    <xf numFmtId="167" fontId="61" fillId="0" borderId="0" xfId="0" applyNumberFormat="1" applyFont="1" applyBorder="1" applyAlignment="1" applyProtection="1">
      <alignment horizontal="left"/>
    </xf>
    <xf numFmtId="0" fontId="43" fillId="0" borderId="0" xfId="0" applyFont="1" applyBorder="1" applyAlignment="1" applyProtection="1">
      <alignment horizontal="left"/>
    </xf>
    <xf numFmtId="167" fontId="68" fillId="0" borderId="0" xfId="0" applyNumberFormat="1" applyFont="1" applyBorder="1" applyAlignment="1" applyProtection="1">
      <alignment horizontal="center"/>
    </xf>
    <xf numFmtId="0" fontId="0" fillId="0" borderId="37" xfId="0" applyBorder="1" applyAlignment="1">
      <alignment horizontal="left"/>
    </xf>
    <xf numFmtId="0" fontId="0" fillId="0" borderId="34" xfId="0" applyBorder="1" applyAlignment="1">
      <alignment horizontal="left"/>
    </xf>
    <xf numFmtId="0" fontId="0" fillId="0" borderId="40" xfId="0" applyBorder="1" applyAlignment="1">
      <alignment horizontal="left"/>
    </xf>
    <xf numFmtId="6" fontId="1" fillId="0" borderId="0" xfId="0" applyNumberFormat="1" applyFont="1"/>
    <xf numFmtId="168" fontId="1" fillId="8" borderId="7" xfId="0" applyNumberFormat="1" applyFont="1" applyFill="1" applyBorder="1" applyAlignment="1" applyProtection="1">
      <alignment vertical="center"/>
    </xf>
    <xf numFmtId="167" fontId="1" fillId="8" borderId="7" xfId="0" applyNumberFormat="1" applyFont="1" applyFill="1" applyBorder="1" applyAlignment="1" applyProtection="1">
      <alignment vertical="center"/>
    </xf>
    <xf numFmtId="168" fontId="1" fillId="8" borderId="5" xfId="0" applyNumberFormat="1" applyFont="1" applyFill="1" applyBorder="1" applyAlignment="1" applyProtection="1">
      <alignment vertical="center"/>
    </xf>
    <xf numFmtId="0" fontId="49" fillId="0" borderId="4" xfId="0" applyFont="1" applyFill="1" applyBorder="1" applyAlignment="1" applyProtection="1">
      <alignment horizontal="center" vertical="center"/>
      <protection locked="0" hidden="1"/>
    </xf>
    <xf numFmtId="0" fontId="10" fillId="14" borderId="4" xfId="0" applyFont="1" applyFill="1" applyBorder="1" applyAlignment="1" applyProtection="1">
      <alignment vertical="center" wrapText="1"/>
      <protection hidden="1"/>
    </xf>
    <xf numFmtId="0" fontId="5" fillId="14" borderId="4" xfId="0" applyFont="1" applyFill="1" applyBorder="1" applyAlignment="1" applyProtection="1">
      <alignment vertical="center"/>
      <protection hidden="1"/>
    </xf>
    <xf numFmtId="0" fontId="0" fillId="7" borderId="4" xfId="0" applyFill="1" applyBorder="1" applyAlignment="1" applyProtection="1">
      <alignment vertical="center"/>
      <protection hidden="1"/>
    </xf>
    <xf numFmtId="0" fontId="10" fillId="14" borderId="4" xfId="0" applyFont="1" applyFill="1" applyBorder="1" applyAlignment="1" applyProtection="1">
      <alignment vertical="center"/>
      <protection hidden="1"/>
    </xf>
    <xf numFmtId="0" fontId="38" fillId="7" borderId="0" xfId="0" applyFont="1" applyFill="1" applyBorder="1" applyAlignment="1" applyProtection="1">
      <alignment vertical="center" wrapText="1"/>
      <protection hidden="1"/>
    </xf>
    <xf numFmtId="0" fontId="38" fillId="7" borderId="0" xfId="0" applyFont="1" applyFill="1" applyBorder="1" applyAlignment="1" applyProtection="1">
      <alignment vertical="center"/>
      <protection hidden="1"/>
    </xf>
    <xf numFmtId="0" fontId="10" fillId="7" borderId="0" xfId="0" applyFont="1" applyFill="1" applyAlignment="1">
      <alignment vertical="center"/>
    </xf>
    <xf numFmtId="0" fontId="71" fillId="0" borderId="0" xfId="0" applyFont="1" applyAlignment="1">
      <alignment vertical="center"/>
    </xf>
    <xf numFmtId="0" fontId="0" fillId="14" borderId="0" xfId="0" applyFill="1" applyAlignment="1">
      <alignment vertical="center"/>
    </xf>
    <xf numFmtId="6" fontId="1" fillId="8" borderId="7" xfId="0" applyNumberFormat="1" applyFont="1" applyFill="1" applyBorder="1" applyAlignment="1" applyProtection="1">
      <alignment horizontal="right" vertical="center"/>
      <protection locked="0"/>
    </xf>
    <xf numFmtId="6" fontId="1" fillId="8" borderId="5" xfId="0" applyNumberFormat="1" applyFont="1" applyFill="1" applyBorder="1" applyAlignment="1" applyProtection="1">
      <alignment horizontal="right" vertical="center"/>
      <protection locked="0"/>
    </xf>
    <xf numFmtId="0" fontId="2" fillId="2" borderId="0" xfId="0" applyFont="1" applyFill="1" applyBorder="1" applyAlignment="1">
      <alignment horizontal="right" vertical="center"/>
    </xf>
    <xf numFmtId="0" fontId="2" fillId="2" borderId="0" xfId="0" applyFont="1" applyFill="1" applyBorder="1" applyAlignment="1">
      <alignment vertical="center"/>
    </xf>
    <xf numFmtId="0" fontId="13" fillId="0" borderId="0" xfId="0" applyFont="1" applyBorder="1" applyAlignment="1">
      <alignment vertical="center" wrapText="1"/>
    </xf>
    <xf numFmtId="0" fontId="1" fillId="8" borderId="4" xfId="0" applyFont="1" applyFill="1" applyBorder="1" applyAlignment="1" applyProtection="1">
      <alignment horizontal="center" vertical="center"/>
      <protection locked="0"/>
    </xf>
    <xf numFmtId="0" fontId="24" fillId="12" borderId="0" xfId="0" applyFont="1" applyFill="1" applyAlignment="1"/>
    <xf numFmtId="0" fontId="24" fillId="12" borderId="0" xfId="0" applyFont="1" applyFill="1" applyAlignment="1">
      <alignment horizontal="right"/>
    </xf>
    <xf numFmtId="0" fontId="11" fillId="7" borderId="0" xfId="0" applyFont="1" applyFill="1" applyAlignment="1" applyProtection="1">
      <alignment vertical="center"/>
      <protection hidden="1"/>
    </xf>
    <xf numFmtId="0" fontId="11" fillId="7" borderId="4" xfId="0" applyFont="1" applyFill="1" applyBorder="1" applyAlignment="1" applyProtection="1">
      <alignment horizontal="left" vertical="center"/>
      <protection hidden="1"/>
    </xf>
    <xf numFmtId="0" fontId="0" fillId="13" borderId="0" xfId="0" applyFill="1" applyAlignment="1"/>
    <xf numFmtId="10" fontId="0" fillId="0" borderId="0" xfId="0" applyNumberFormat="1" applyAlignment="1">
      <alignment horizontal="center" vertical="center"/>
    </xf>
    <xf numFmtId="0" fontId="24" fillId="12" borderId="0" xfId="0" applyFont="1" applyFill="1" applyAlignment="1">
      <alignment horizontal="center"/>
    </xf>
    <xf numFmtId="0" fontId="0" fillId="13" borderId="0" xfId="0" applyFill="1" applyAlignment="1">
      <alignment horizontal="center"/>
    </xf>
    <xf numFmtId="10" fontId="73" fillId="0" borderId="0" xfId="0" applyNumberFormat="1" applyFont="1" applyAlignment="1">
      <alignment horizontal="center" vertical="center"/>
    </xf>
    <xf numFmtId="10" fontId="73" fillId="7" borderId="4" xfId="0" applyNumberFormat="1" applyFont="1" applyFill="1" applyBorder="1" applyAlignment="1">
      <alignment horizontal="center"/>
    </xf>
    <xf numFmtId="10" fontId="5" fillId="7" borderId="4" xfId="0" applyNumberFormat="1" applyFont="1" applyFill="1" applyBorder="1" applyAlignment="1">
      <alignment horizontal="center"/>
    </xf>
    <xf numFmtId="0" fontId="11" fillId="12" borderId="0" xfId="0" applyFont="1" applyFill="1" applyAlignment="1">
      <alignment horizontal="center"/>
    </xf>
    <xf numFmtId="0" fontId="74" fillId="5" borderId="4" xfId="0" applyFont="1" applyFill="1" applyBorder="1" applyAlignment="1">
      <alignment horizontal="center"/>
    </xf>
    <xf numFmtId="10" fontId="11" fillId="7" borderId="0" xfId="0" applyNumberFormat="1" applyFont="1" applyFill="1" applyBorder="1" applyAlignment="1">
      <alignment horizontal="center"/>
    </xf>
    <xf numFmtId="10" fontId="75" fillId="7" borderId="0" xfId="0" applyNumberFormat="1" applyFont="1" applyFill="1" applyBorder="1" applyAlignment="1">
      <alignment horizontal="center"/>
    </xf>
    <xf numFmtId="14" fontId="11" fillId="7" borderId="0" xfId="0" applyNumberFormat="1" applyFont="1" applyFill="1" applyBorder="1" applyAlignment="1">
      <alignment horizontal="center"/>
    </xf>
    <xf numFmtId="0" fontId="11" fillId="0" borderId="0" xfId="0" applyFont="1" applyAlignment="1">
      <alignment horizontal="center"/>
    </xf>
    <xf numFmtId="0" fontId="11" fillId="13" borderId="0" xfId="0" applyFont="1" applyFill="1" applyAlignment="1">
      <alignment horizontal="center"/>
    </xf>
    <xf numFmtId="0" fontId="14" fillId="0" borderId="0" xfId="0" applyFont="1" applyBorder="1" applyAlignment="1">
      <alignment horizontal="left" vertical="center"/>
    </xf>
    <xf numFmtId="167" fontId="1" fillId="0" borderId="0" xfId="0" applyNumberFormat="1" applyFont="1" applyBorder="1" applyAlignment="1" applyProtection="1">
      <alignment vertical="center"/>
    </xf>
    <xf numFmtId="1" fontId="1" fillId="0" borderId="0" xfId="0" applyNumberFormat="1" applyFont="1" applyBorder="1" applyAlignment="1">
      <alignment horizontal="center"/>
    </xf>
    <xf numFmtId="0" fontId="1" fillId="14" borderId="0" xfId="0" applyFont="1" applyFill="1" applyAlignment="1">
      <alignment vertical="center"/>
    </xf>
    <xf numFmtId="0" fontId="0" fillId="0" borderId="0" xfId="0" applyFill="1"/>
    <xf numFmtId="0" fontId="52" fillId="0" borderId="0" xfId="0" applyFont="1" applyFill="1" applyAlignment="1">
      <alignment horizontal="left" vertical="center"/>
    </xf>
    <xf numFmtId="6" fontId="0" fillId="7" borderId="0" xfId="0" applyNumberFormat="1" applyFill="1" applyAlignment="1" applyProtection="1">
      <alignment vertical="center"/>
      <protection hidden="1"/>
    </xf>
    <xf numFmtId="6" fontId="1" fillId="8" borderId="7" xfId="0" applyNumberFormat="1" applyFont="1" applyFill="1" applyBorder="1" applyAlignment="1" applyProtection="1">
      <alignment horizontal="right" vertical="center"/>
      <protection locked="0"/>
    </xf>
    <xf numFmtId="6" fontId="1" fillId="8" borderId="5" xfId="0" applyNumberFormat="1" applyFont="1" applyFill="1" applyBorder="1" applyAlignment="1" applyProtection="1">
      <alignment horizontal="right" vertical="center"/>
      <protection locked="0"/>
    </xf>
    <xf numFmtId="0" fontId="2" fillId="2" borderId="0" xfId="0" applyFont="1" applyFill="1" applyBorder="1" applyAlignment="1">
      <alignment horizontal="left" vertical="center"/>
    </xf>
    <xf numFmtId="0" fontId="2" fillId="2" borderId="0" xfId="0" applyFont="1" applyFill="1" applyBorder="1" applyAlignment="1">
      <alignment horizontal="right" vertical="center"/>
    </xf>
    <xf numFmtId="0" fontId="2" fillId="0" borderId="15" xfId="0" applyFont="1" applyFill="1" applyBorder="1" applyAlignment="1">
      <alignment horizontal="right" vertical="center"/>
    </xf>
    <xf numFmtId="0" fontId="2" fillId="2" borderId="0" xfId="0" applyFont="1" applyFill="1" applyBorder="1" applyAlignment="1">
      <alignment vertical="center"/>
    </xf>
    <xf numFmtId="0" fontId="13" fillId="0" borderId="0" xfId="0" applyFont="1" applyBorder="1" applyAlignment="1">
      <alignment vertical="center" wrapText="1"/>
    </xf>
    <xf numFmtId="0" fontId="52" fillId="7" borderId="0" xfId="0" applyFont="1" applyFill="1" applyAlignment="1">
      <alignment vertical="center"/>
    </xf>
    <xf numFmtId="0" fontId="46" fillId="2" borderId="1" xfId="0" applyFont="1" applyFill="1" applyBorder="1" applyAlignment="1">
      <alignment vertical="top"/>
    </xf>
    <xf numFmtId="0" fontId="5" fillId="5" borderId="5" xfId="0" applyFont="1" applyFill="1" applyBorder="1" applyAlignment="1">
      <alignment horizontal="center"/>
    </xf>
    <xf numFmtId="0" fontId="24" fillId="12" borderId="64" xfId="0" applyFont="1" applyFill="1" applyBorder="1" applyAlignment="1">
      <alignment horizontal="center"/>
    </xf>
    <xf numFmtId="0" fontId="5" fillId="5" borderId="65" xfId="0" applyFont="1" applyFill="1" applyBorder="1" applyAlignment="1">
      <alignment horizontal="center"/>
    </xf>
    <xf numFmtId="10" fontId="0" fillId="0" borderId="64" xfId="0" applyNumberFormat="1" applyBorder="1" applyAlignment="1">
      <alignment horizontal="center" vertical="center"/>
    </xf>
    <xf numFmtId="10" fontId="73" fillId="0" borderId="64" xfId="0" applyNumberFormat="1" applyFont="1" applyBorder="1" applyAlignment="1">
      <alignment horizontal="center" vertical="center"/>
    </xf>
    <xf numFmtId="0" fontId="0" fillId="0" borderId="64" xfId="0" applyBorder="1" applyAlignment="1">
      <alignment horizontal="center"/>
    </xf>
    <xf numFmtId="0" fontId="0" fillId="13" borderId="64" xfId="0" applyFill="1" applyBorder="1" applyAlignment="1">
      <alignment horizontal="center"/>
    </xf>
    <xf numFmtId="0" fontId="2" fillId="0" borderId="0" xfId="0" applyFont="1" applyFill="1" applyBorder="1" applyAlignment="1">
      <alignment horizontal="right" vertical="center"/>
    </xf>
    <xf numFmtId="0" fontId="78" fillId="0" borderId="0" xfId="0" applyFont="1" applyAlignment="1">
      <alignment vertical="center"/>
    </xf>
    <xf numFmtId="0" fontId="78" fillId="0" borderId="0" xfId="0" applyFont="1" applyAlignment="1" applyProtection="1">
      <alignment vertical="center"/>
      <protection locked="0" hidden="1"/>
    </xf>
    <xf numFmtId="0" fontId="1" fillId="0" borderId="73" xfId="0" applyFont="1" applyFill="1" applyBorder="1" applyAlignment="1">
      <alignment vertical="center"/>
    </xf>
    <xf numFmtId="0" fontId="1" fillId="0" borderId="74" xfId="0" applyFont="1" applyFill="1" applyBorder="1" applyAlignment="1">
      <alignment vertical="center"/>
    </xf>
    <xf numFmtId="0" fontId="2" fillId="0" borderId="73" xfId="0" applyFont="1" applyFill="1" applyBorder="1" applyAlignment="1">
      <alignment horizontal="right" vertical="center"/>
    </xf>
    <xf numFmtId="0" fontId="2" fillId="0" borderId="74" xfId="0" applyFont="1" applyFill="1" applyBorder="1" applyAlignment="1">
      <alignment horizontal="right" vertical="center"/>
    </xf>
    <xf numFmtId="0" fontId="1" fillId="0" borderId="80" xfId="0" applyFont="1" applyBorder="1" applyAlignment="1">
      <alignment vertical="center"/>
    </xf>
    <xf numFmtId="0" fontId="2" fillId="0" borderId="86" xfId="0" applyFont="1" applyBorder="1" applyAlignment="1">
      <alignment vertical="center" wrapText="1"/>
    </xf>
    <xf numFmtId="0" fontId="78" fillId="0" borderId="0" xfId="0" applyFont="1" applyBorder="1" applyAlignment="1">
      <alignment vertical="center"/>
    </xf>
    <xf numFmtId="8" fontId="0" fillId="7" borderId="0" xfId="0" applyNumberFormat="1" applyFill="1" applyAlignment="1" applyProtection="1">
      <alignment vertical="center"/>
      <protection hidden="1"/>
    </xf>
    <xf numFmtId="0" fontId="11" fillId="7" borderId="0" xfId="0" applyFont="1" applyFill="1" applyAlignment="1" applyProtection="1">
      <alignment vertical="center"/>
      <protection hidden="1"/>
    </xf>
    <xf numFmtId="15" fontId="10" fillId="14" borderId="4" xfId="0" applyNumberFormat="1" applyFont="1" applyFill="1" applyBorder="1" applyAlignment="1" applyProtection="1">
      <alignment vertical="center"/>
      <protection hidden="1"/>
    </xf>
    <xf numFmtId="0" fontId="1" fillId="8" borderId="6" xfId="0" applyFont="1" applyFill="1" applyBorder="1" applyAlignment="1" applyProtection="1">
      <alignment vertical="center"/>
      <protection locked="0"/>
    </xf>
    <xf numFmtId="0" fontId="0" fillId="7" borderId="0" xfId="0" applyFill="1" applyAlignment="1" applyProtection="1">
      <alignment horizontal="left" vertical="center"/>
      <protection hidden="1"/>
    </xf>
    <xf numFmtId="0" fontId="0" fillId="7" borderId="0" xfId="0" applyFill="1" applyAlignment="1">
      <alignment horizontal="right"/>
    </xf>
    <xf numFmtId="0" fontId="36" fillId="0" borderId="0" xfId="0" applyFont="1" applyAlignment="1">
      <alignment horizontal="left" vertical="top"/>
    </xf>
    <xf numFmtId="0" fontId="2" fillId="2" borderId="0" xfId="0" applyFont="1" applyFill="1" applyBorder="1" applyAlignment="1">
      <alignment vertical="center"/>
    </xf>
    <xf numFmtId="6" fontId="1" fillId="5" borderId="5" xfId="0" applyNumberFormat="1" applyFont="1" applyFill="1" applyBorder="1" applyAlignment="1" applyProtection="1">
      <alignment vertical="center"/>
      <protection locked="0"/>
    </xf>
    <xf numFmtId="0" fontId="2" fillId="0" borderId="13" xfId="0" applyFont="1" applyBorder="1" applyAlignment="1" applyProtection="1">
      <alignment vertical="center" wrapText="1"/>
    </xf>
    <xf numFmtId="0" fontId="5" fillId="7" borderId="0" xfId="0" applyFont="1" applyFill="1" applyAlignment="1" applyProtection="1">
      <alignment vertical="center"/>
      <protection hidden="1"/>
    </xf>
    <xf numFmtId="0" fontId="81" fillId="7" borderId="0" xfId="2" applyFont="1" applyFill="1" applyBorder="1" applyAlignment="1">
      <alignment vertical="center"/>
    </xf>
    <xf numFmtId="0" fontId="0" fillId="0" borderId="0" xfId="0" applyFill="1" applyBorder="1" applyAlignment="1">
      <alignment horizontal="left" vertical="top"/>
    </xf>
    <xf numFmtId="0" fontId="84" fillId="0" borderId="0" xfId="0" applyFont="1" applyFill="1" applyBorder="1" applyAlignment="1">
      <alignment horizontal="left" vertical="top"/>
    </xf>
    <xf numFmtId="0" fontId="85" fillId="19" borderId="89" xfId="0" applyFont="1" applyFill="1" applyBorder="1" applyAlignment="1">
      <alignment horizontal="left" vertical="top" wrapText="1"/>
    </xf>
    <xf numFmtId="0" fontId="0" fillId="20" borderId="89" xfId="0" applyFill="1" applyBorder="1" applyAlignment="1">
      <alignment horizontal="center" vertical="top" wrapText="1"/>
    </xf>
    <xf numFmtId="170" fontId="87" fillId="20" borderId="90" xfId="0" applyNumberFormat="1" applyFont="1" applyFill="1" applyBorder="1" applyAlignment="1">
      <alignment horizontal="center" vertical="top" wrapText="1"/>
    </xf>
    <xf numFmtId="170" fontId="87" fillId="20" borderId="91" xfId="0" applyNumberFormat="1" applyFont="1" applyFill="1" applyBorder="1" applyAlignment="1">
      <alignment horizontal="center" vertical="top" wrapText="1"/>
    </xf>
    <xf numFmtId="170" fontId="87" fillId="20" borderId="89" xfId="0" applyNumberFormat="1" applyFont="1" applyFill="1" applyBorder="1" applyAlignment="1">
      <alignment horizontal="center" vertical="top" wrapText="1"/>
    </xf>
    <xf numFmtId="171" fontId="88" fillId="21" borderId="89" xfId="0" applyNumberFormat="1" applyFont="1" applyFill="1" applyBorder="1" applyAlignment="1">
      <alignment horizontal="center" vertical="top" wrapText="1"/>
    </xf>
    <xf numFmtId="170" fontId="87" fillId="21" borderId="90" xfId="0" applyNumberFormat="1" applyFont="1" applyFill="1" applyBorder="1" applyAlignment="1">
      <alignment horizontal="center" vertical="top" wrapText="1"/>
    </xf>
    <xf numFmtId="170" fontId="87" fillId="21" borderId="91" xfId="0" applyNumberFormat="1" applyFont="1" applyFill="1" applyBorder="1" applyAlignment="1">
      <alignment horizontal="center" vertical="top" wrapText="1"/>
    </xf>
    <xf numFmtId="170" fontId="87" fillId="21" borderId="89" xfId="0" applyNumberFormat="1" applyFont="1" applyFill="1" applyBorder="1" applyAlignment="1">
      <alignment horizontal="center" vertical="top" wrapText="1"/>
    </xf>
    <xf numFmtId="171" fontId="88" fillId="20" borderId="89" xfId="0" applyNumberFormat="1" applyFont="1" applyFill="1" applyBorder="1" applyAlignment="1">
      <alignment horizontal="center" vertical="top" wrapText="1"/>
    </xf>
    <xf numFmtId="0" fontId="86" fillId="19" borderId="90" xfId="0" applyFont="1" applyFill="1" applyBorder="1" applyAlignment="1">
      <alignment horizontal="left" vertical="top" wrapText="1"/>
    </xf>
    <xf numFmtId="0" fontId="86" fillId="19" borderId="91" xfId="0" applyFont="1" applyFill="1" applyBorder="1" applyAlignment="1">
      <alignment horizontal="left" vertical="top" wrapText="1"/>
    </xf>
    <xf numFmtId="0" fontId="86" fillId="19" borderId="89" xfId="0" applyFont="1" applyFill="1" applyBorder="1" applyAlignment="1">
      <alignment horizontal="left" vertical="top" wrapText="1"/>
    </xf>
    <xf numFmtId="0" fontId="0" fillId="22" borderId="89" xfId="0" applyFill="1" applyBorder="1" applyAlignment="1">
      <alignment horizontal="center" vertical="top" wrapText="1"/>
    </xf>
    <xf numFmtId="170" fontId="87" fillId="22" borderId="90" xfId="0" applyNumberFormat="1" applyFont="1" applyFill="1" applyBorder="1" applyAlignment="1">
      <alignment horizontal="center" vertical="top" wrapText="1"/>
    </xf>
    <xf numFmtId="170" fontId="87" fillId="22" borderId="91" xfId="0" applyNumberFormat="1" applyFont="1" applyFill="1" applyBorder="1" applyAlignment="1">
      <alignment horizontal="center" vertical="top" wrapText="1"/>
    </xf>
    <xf numFmtId="170" fontId="87" fillId="22" borderId="89" xfId="0" applyNumberFormat="1" applyFont="1" applyFill="1" applyBorder="1" applyAlignment="1">
      <alignment horizontal="center" vertical="top" wrapText="1"/>
    </xf>
    <xf numFmtId="167" fontId="0" fillId="7" borderId="0" xfId="0" applyNumberFormat="1" applyFill="1" applyAlignment="1" applyProtection="1">
      <alignment vertical="center"/>
      <protection hidden="1"/>
    </xf>
    <xf numFmtId="167" fontId="0" fillId="12" borderId="0" xfId="0" applyNumberFormat="1" applyFill="1" applyAlignment="1" applyProtection="1">
      <alignment vertical="center"/>
      <protection hidden="1"/>
    </xf>
    <xf numFmtId="14" fontId="0" fillId="7" borderId="0" xfId="0" applyNumberFormat="1" applyFill="1" applyAlignment="1" applyProtection="1">
      <alignment horizontal="left" vertical="center"/>
      <protection hidden="1"/>
    </xf>
    <xf numFmtId="0" fontId="81" fillId="12" borderId="0" xfId="2" applyFont="1" applyFill="1" applyBorder="1" applyAlignment="1">
      <alignment vertical="center"/>
    </xf>
    <xf numFmtId="167" fontId="5" fillId="7" borderId="0" xfId="0" applyNumberFormat="1" applyFont="1" applyFill="1" applyAlignment="1" applyProtection="1">
      <alignment vertical="center"/>
      <protection hidden="1"/>
    </xf>
    <xf numFmtId="167" fontId="0" fillId="12" borderId="0" xfId="0" applyNumberFormat="1" applyFill="1" applyAlignment="1" applyProtection="1">
      <alignment horizontal="right" vertical="center"/>
      <protection hidden="1"/>
    </xf>
    <xf numFmtId="0" fontId="12" fillId="0" borderId="0" xfId="0" applyFont="1" applyAlignment="1"/>
    <xf numFmtId="167" fontId="1" fillId="0" borderId="0" xfId="3" applyNumberFormat="1" applyFont="1" applyAlignment="1" applyProtection="1">
      <alignment vertical="center"/>
      <protection locked="0" hidden="1"/>
    </xf>
    <xf numFmtId="167" fontId="1" fillId="0" borderId="0" xfId="0" applyNumberFormat="1" applyFont="1" applyAlignment="1" applyProtection="1">
      <alignment vertical="top"/>
      <protection locked="0" hidden="1"/>
    </xf>
    <xf numFmtId="0" fontId="44" fillId="7" borderId="0" xfId="0" applyFont="1" applyFill="1" applyAlignment="1" applyProtection="1">
      <alignment horizontal="left" vertical="center"/>
      <protection locked="0" hidden="1"/>
    </xf>
    <xf numFmtId="0" fontId="5" fillId="14" borderId="4" xfId="0" applyFont="1" applyFill="1" applyBorder="1"/>
    <xf numFmtId="6" fontId="10" fillId="14" borderId="4" xfId="0" applyNumberFormat="1" applyFont="1" applyFill="1" applyBorder="1" applyAlignment="1">
      <alignment horizontal="right" vertical="center" wrapText="1"/>
    </xf>
    <xf numFmtId="6" fontId="1" fillId="14" borderId="4" xfId="0" applyNumberFormat="1" applyFont="1" applyFill="1" applyBorder="1" applyAlignment="1">
      <alignment horizontal="right" vertical="center" wrapText="1"/>
    </xf>
    <xf numFmtId="167" fontId="57" fillId="0" borderId="0" xfId="0" applyNumberFormat="1" applyFont="1" applyProtection="1">
      <protection hidden="1"/>
    </xf>
    <xf numFmtId="0" fontId="0" fillId="15" borderId="36" xfId="0" applyFill="1" applyBorder="1"/>
    <xf numFmtId="0" fontId="0" fillId="15" borderId="36" xfId="0" applyNumberFormat="1" applyFill="1" applyBorder="1"/>
    <xf numFmtId="0" fontId="11" fillId="7" borderId="0" xfId="0" applyFont="1" applyFill="1" applyAlignment="1" applyProtection="1">
      <alignment vertical="center"/>
      <protection hidden="1"/>
    </xf>
    <xf numFmtId="0" fontId="91" fillId="0" borderId="0" xfId="0" applyFont="1" applyAlignment="1">
      <alignment vertical="center"/>
    </xf>
    <xf numFmtId="0" fontId="91" fillId="0" borderId="0" xfId="0" applyFont="1" applyFill="1" applyAlignment="1">
      <alignment vertical="center"/>
    </xf>
    <xf numFmtId="0" fontId="91" fillId="7" borderId="0" xfId="0" applyFont="1" applyFill="1" applyAlignment="1">
      <alignment vertical="center"/>
    </xf>
    <xf numFmtId="0" fontId="91" fillId="7" borderId="0" xfId="0" applyFont="1" applyFill="1" applyAlignment="1" applyProtection="1">
      <alignment vertical="center"/>
      <protection hidden="1"/>
    </xf>
    <xf numFmtId="0" fontId="91" fillId="0" borderId="0" xfId="0" applyFont="1" applyBorder="1" applyAlignment="1">
      <alignment vertical="center"/>
    </xf>
    <xf numFmtId="0" fontId="92" fillId="0" borderId="0" xfId="0" applyFont="1" applyBorder="1" applyAlignment="1">
      <alignment horizontal="center" vertical="center"/>
    </xf>
    <xf numFmtId="0" fontId="92" fillId="0" borderId="0" xfId="0" applyFont="1" applyBorder="1" applyAlignment="1">
      <alignment vertical="center"/>
    </xf>
    <xf numFmtId="6" fontId="1" fillId="7" borderId="0" xfId="0" applyNumberFormat="1" applyFont="1" applyFill="1" applyBorder="1" applyAlignment="1">
      <alignment horizontal="right" vertical="center" wrapText="1"/>
    </xf>
    <xf numFmtId="6" fontId="1" fillId="7" borderId="0" xfId="0" applyNumberFormat="1" applyFont="1" applyFill="1" applyBorder="1" applyAlignment="1">
      <alignment horizontal="left" vertical="center" wrapText="1"/>
    </xf>
    <xf numFmtId="0" fontId="30" fillId="7" borderId="0" xfId="0" applyFont="1" applyFill="1" applyBorder="1" applyAlignment="1">
      <alignment vertical="center"/>
    </xf>
    <xf numFmtId="0" fontId="2" fillId="7" borderId="0" xfId="0" applyFont="1" applyFill="1" applyBorder="1" applyAlignment="1">
      <alignment horizontal="left"/>
    </xf>
    <xf numFmtId="0" fontId="2" fillId="7" borderId="0" xfId="0" applyFont="1" applyFill="1" applyBorder="1" applyAlignment="1">
      <alignment horizontal="left" vertical="center" wrapText="1"/>
    </xf>
    <xf numFmtId="0" fontId="0" fillId="7" borderId="0" xfId="0" applyFont="1" applyFill="1" applyAlignment="1">
      <alignment vertical="center"/>
    </xf>
    <xf numFmtId="0" fontId="0" fillId="7" borderId="0" xfId="0" applyFont="1" applyFill="1" applyBorder="1" applyAlignment="1" applyProtection="1">
      <alignment vertical="center"/>
      <protection hidden="1"/>
    </xf>
    <xf numFmtId="0" fontId="0" fillId="7" borderId="0" xfId="0" applyFont="1" applyFill="1" applyBorder="1" applyAlignment="1">
      <alignment vertical="center"/>
    </xf>
    <xf numFmtId="0" fontId="0" fillId="7" borderId="0" xfId="0" applyFont="1" applyFill="1" applyBorder="1"/>
    <xf numFmtId="0" fontId="0" fillId="7" borderId="0" xfId="0" applyFont="1" applyFill="1" applyBorder="1" applyAlignment="1">
      <alignment horizontal="center"/>
    </xf>
    <xf numFmtId="0" fontId="0" fillId="7" borderId="0" xfId="0" applyNumberFormat="1" applyFont="1" applyFill="1" applyBorder="1"/>
    <xf numFmtId="6" fontId="0" fillId="7" borderId="0" xfId="0" applyNumberFormat="1" applyFont="1" applyFill="1" applyBorder="1"/>
    <xf numFmtId="167" fontId="0" fillId="7" borderId="0" xfId="0" applyNumberFormat="1" applyFont="1" applyFill="1" applyBorder="1" applyAlignment="1">
      <alignment horizontal="center"/>
    </xf>
    <xf numFmtId="9" fontId="0" fillId="7" borderId="0" xfId="0" applyNumberFormat="1" applyFont="1" applyFill="1" applyBorder="1" applyAlignment="1">
      <alignment horizontal="center"/>
    </xf>
    <xf numFmtId="0" fontId="22" fillId="0" borderId="0" xfId="0" applyFont="1" applyAlignment="1">
      <alignment vertical="center"/>
    </xf>
    <xf numFmtId="0" fontId="46" fillId="2" borderId="0" xfId="0" applyFont="1" applyFill="1" applyBorder="1" applyAlignment="1">
      <alignment horizontal="left" vertical="center" wrapText="1"/>
    </xf>
    <xf numFmtId="0" fontId="46" fillId="9" borderId="0" xfId="0" applyFont="1" applyFill="1" applyBorder="1" applyAlignment="1">
      <alignment vertical="center"/>
    </xf>
    <xf numFmtId="0" fontId="22" fillId="0" borderId="0" xfId="0" applyFont="1" applyBorder="1" applyAlignment="1">
      <alignment horizontal="left"/>
    </xf>
    <xf numFmtId="0" fontId="22" fillId="7" borderId="0" xfId="0" applyFont="1" applyFill="1" applyAlignment="1">
      <alignment vertical="center"/>
    </xf>
    <xf numFmtId="0" fontId="22" fillId="7" borderId="0" xfId="0" applyFont="1" applyFill="1" applyBorder="1" applyAlignment="1">
      <alignment vertical="center"/>
    </xf>
    <xf numFmtId="0" fontId="46" fillId="7" borderId="0" xfId="0" applyFont="1" applyFill="1" applyBorder="1" applyAlignment="1">
      <alignment vertical="center"/>
    </xf>
    <xf numFmtId="0" fontId="22" fillId="7" borderId="0" xfId="0" applyFont="1" applyFill="1" applyBorder="1" applyAlignment="1">
      <alignment horizontal="left"/>
    </xf>
    <xf numFmtId="0" fontId="22" fillId="0" borderId="0" xfId="0" applyFont="1" applyAlignment="1">
      <alignment horizontal="left" vertical="top"/>
    </xf>
    <xf numFmtId="0" fontId="0" fillId="0" borderId="0" xfId="0" applyFont="1" applyAlignment="1">
      <alignment vertical="top"/>
    </xf>
    <xf numFmtId="0" fontId="20" fillId="0" borderId="0" xfId="0" applyFont="1" applyBorder="1" applyAlignment="1" applyProtection="1">
      <alignment horizontal="left" vertical="top" wrapText="1"/>
    </xf>
    <xf numFmtId="0" fontId="0" fillId="7" borderId="35" xfId="0" applyFill="1" applyBorder="1" applyAlignment="1"/>
    <xf numFmtId="0" fontId="0" fillId="7" borderId="0" xfId="0" applyFill="1" applyBorder="1" applyAlignment="1"/>
    <xf numFmtId="0" fontId="0" fillId="7" borderId="37" xfId="0" applyFill="1" applyBorder="1" applyAlignment="1"/>
    <xf numFmtId="0" fontId="0" fillId="7" borderId="0" xfId="0" applyNumberFormat="1" applyFill="1" applyBorder="1" applyAlignment="1"/>
    <xf numFmtId="6" fontId="0" fillId="7" borderId="0" xfId="0" applyNumberFormat="1" applyFill="1" applyBorder="1" applyAlignment="1"/>
    <xf numFmtId="0" fontId="0" fillId="7" borderId="38" xfId="0" applyFill="1" applyBorder="1" applyAlignment="1"/>
    <xf numFmtId="0" fontId="0" fillId="7" borderId="39" xfId="0" applyFill="1" applyBorder="1" applyAlignment="1"/>
    <xf numFmtId="0" fontId="0" fillId="7" borderId="40" xfId="0" applyFill="1" applyBorder="1" applyAlignment="1"/>
    <xf numFmtId="0" fontId="29" fillId="2" borderId="0" xfId="0" applyFont="1" applyFill="1" applyBorder="1" applyAlignment="1" applyProtection="1">
      <alignment wrapText="1"/>
      <protection hidden="1"/>
    </xf>
    <xf numFmtId="0" fontId="20" fillId="0" borderId="0" xfId="0" applyFont="1" applyFill="1" applyBorder="1" applyAlignment="1" applyProtection="1">
      <alignment horizontal="left" vertical="center" wrapText="1"/>
      <protection locked="0"/>
    </xf>
    <xf numFmtId="6" fontId="36" fillId="0" borderId="94" xfId="0" applyNumberFormat="1" applyFont="1" applyFill="1" applyBorder="1" applyAlignment="1" applyProtection="1">
      <alignment vertical="center"/>
      <protection locked="0"/>
    </xf>
    <xf numFmtId="167" fontId="36" fillId="8" borderId="4" xfId="0" applyNumberFormat="1" applyFont="1" applyFill="1" applyBorder="1" applyAlignment="1" applyProtection="1">
      <alignment vertical="center"/>
      <protection locked="0"/>
    </xf>
    <xf numFmtId="1" fontId="36" fillId="8" borderId="4" xfId="0" applyNumberFormat="1" applyFont="1" applyFill="1" applyBorder="1" applyAlignment="1" applyProtection="1">
      <alignment horizontal="center" vertical="center"/>
      <protection locked="0"/>
    </xf>
    <xf numFmtId="10" fontId="0" fillId="0" borderId="0" xfId="1" applyNumberFormat="1" applyFont="1" applyAlignment="1"/>
    <xf numFmtId="0" fontId="98" fillId="0" borderId="0" xfId="0" applyFont="1" applyAlignment="1" applyProtection="1">
      <alignment vertical="center"/>
    </xf>
    <xf numFmtId="167" fontId="78" fillId="0" borderId="0" xfId="0" applyNumberFormat="1" applyFont="1" applyBorder="1" applyAlignment="1" applyProtection="1">
      <alignment vertical="center" wrapText="1"/>
    </xf>
    <xf numFmtId="0" fontId="98" fillId="0" borderId="0" xfId="0" applyFont="1" applyAlignment="1">
      <alignment vertical="center"/>
    </xf>
    <xf numFmtId="0" fontId="78" fillId="2" borderId="0" xfId="0" applyFont="1" applyFill="1" applyBorder="1" applyAlignment="1">
      <alignment horizontal="left" vertical="center"/>
    </xf>
    <xf numFmtId="0" fontId="78" fillId="2" borderId="0" xfId="0" applyFont="1" applyFill="1" applyBorder="1" applyAlignment="1">
      <alignment vertical="center"/>
    </xf>
    <xf numFmtId="0" fontId="78" fillId="2" borderId="13" xfId="0" applyFont="1" applyFill="1" applyBorder="1" applyAlignment="1">
      <alignment vertical="center"/>
    </xf>
    <xf numFmtId="0" fontId="98" fillId="0" borderId="0" xfId="0" applyFont="1" applyBorder="1" applyAlignment="1">
      <alignment vertical="center"/>
    </xf>
    <xf numFmtId="0" fontId="98" fillId="0" borderId="0" xfId="0" applyFont="1"/>
    <xf numFmtId="0" fontId="1" fillId="0" borderId="108" xfId="0" applyFont="1" applyFill="1" applyBorder="1" applyAlignment="1">
      <alignment vertical="center"/>
    </xf>
    <xf numFmtId="0" fontId="1" fillId="0" borderId="109" xfId="0" applyFont="1" applyFill="1" applyBorder="1" applyAlignment="1">
      <alignment vertical="center"/>
    </xf>
    <xf numFmtId="0" fontId="2" fillId="0" borderId="114" xfId="0" applyFont="1" applyFill="1" applyBorder="1" applyAlignment="1">
      <alignment horizontal="right" vertical="center"/>
    </xf>
    <xf numFmtId="0" fontId="2" fillId="0" borderId="115" xfId="0" applyFont="1" applyFill="1" applyBorder="1" applyAlignment="1">
      <alignment horizontal="right" vertical="center"/>
    </xf>
    <xf numFmtId="0" fontId="1" fillId="0" borderId="119" xfId="0" applyFont="1" applyBorder="1" applyAlignment="1">
      <alignment vertical="center"/>
    </xf>
    <xf numFmtId="0" fontId="2" fillId="0" borderId="125" xfId="0" applyFont="1" applyBorder="1" applyAlignment="1">
      <alignment vertical="center" wrapText="1"/>
    </xf>
    <xf numFmtId="0" fontId="78" fillId="2" borderId="28" xfId="0" applyFont="1" applyFill="1" applyBorder="1" applyAlignment="1">
      <alignment vertical="center"/>
    </xf>
    <xf numFmtId="0" fontId="78" fillId="0" borderId="0" xfId="0" applyFont="1" applyBorder="1" applyAlignment="1">
      <alignment vertical="center" wrapText="1"/>
    </xf>
    <xf numFmtId="0" fontId="79" fillId="0" borderId="13" xfId="0" applyFont="1" applyBorder="1" applyAlignment="1">
      <alignment vertical="center" wrapText="1"/>
    </xf>
    <xf numFmtId="0" fontId="78" fillId="2" borderId="129" xfId="0" applyFont="1" applyFill="1" applyBorder="1" applyAlignment="1">
      <alignment vertical="center"/>
    </xf>
    <xf numFmtId="0" fontId="2" fillId="0" borderId="108" xfId="0" applyFont="1" applyFill="1" applyBorder="1" applyAlignment="1">
      <alignment horizontal="right" vertical="center"/>
    </xf>
    <xf numFmtId="0" fontId="2" fillId="0" borderId="109" xfId="0" applyFont="1" applyFill="1" applyBorder="1" applyAlignment="1">
      <alignment horizontal="right" vertical="center"/>
    </xf>
    <xf numFmtId="0" fontId="97" fillId="2"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 fillId="8" borderId="5" xfId="0" applyFont="1" applyFill="1" applyBorder="1" applyAlignment="1" applyProtection="1">
      <alignment vertical="center"/>
    </xf>
    <xf numFmtId="0" fontId="32" fillId="11" borderId="4" xfId="0" applyFont="1" applyFill="1" applyBorder="1" applyAlignment="1" applyProtection="1">
      <alignment vertical="center"/>
    </xf>
    <xf numFmtId="0" fontId="36" fillId="0" borderId="0" xfId="0" applyFont="1" applyBorder="1" applyAlignment="1" applyProtection="1">
      <alignment horizontal="center" vertical="center"/>
    </xf>
    <xf numFmtId="0" fontId="103" fillId="2" borderId="0" xfId="0" applyFont="1" applyFill="1" applyBorder="1" applyAlignment="1" applyProtection="1">
      <alignment horizontal="left" wrapText="1"/>
    </xf>
    <xf numFmtId="0" fontId="36" fillId="0" borderId="0" xfId="0" applyFont="1" applyFill="1" applyAlignment="1" applyProtection="1">
      <alignment vertical="center"/>
      <protection hidden="1"/>
    </xf>
    <xf numFmtId="0" fontId="29" fillId="0" borderId="0" xfId="0" applyFont="1" applyFill="1" applyBorder="1" applyAlignment="1" applyProtection="1">
      <alignment horizontal="left" vertical="center" wrapText="1"/>
      <protection locked="0"/>
    </xf>
    <xf numFmtId="0" fontId="29" fillId="0" borderId="0" xfId="0" applyFont="1" applyBorder="1" applyAlignment="1" applyProtection="1">
      <alignment horizontal="left" vertical="top" wrapText="1"/>
    </xf>
    <xf numFmtId="1" fontId="107" fillId="0" borderId="130" xfId="0" applyNumberFormat="1" applyFont="1" applyBorder="1" applyAlignment="1">
      <alignment horizontal="center"/>
    </xf>
    <xf numFmtId="0" fontId="107" fillId="0" borderId="131" xfId="0" applyNumberFormat="1" applyFont="1" applyBorder="1" applyAlignment="1">
      <alignment horizontal="center"/>
    </xf>
    <xf numFmtId="1" fontId="107" fillId="0" borderId="132" xfId="0" applyNumberFormat="1" applyFont="1" applyBorder="1" applyAlignment="1"/>
    <xf numFmtId="1" fontId="107" fillId="0" borderId="131" xfId="0" applyNumberFormat="1" applyFont="1" applyBorder="1" applyAlignment="1"/>
    <xf numFmtId="0" fontId="99" fillId="0" borderId="0" xfId="0" applyFont="1" applyBorder="1" applyAlignment="1">
      <alignment vertical="center"/>
    </xf>
    <xf numFmtId="0" fontId="0" fillId="7" borderId="137" xfId="0" applyFill="1" applyBorder="1" applyAlignment="1"/>
    <xf numFmtId="0" fontId="0" fillId="7" borderId="138" xfId="0" applyFill="1" applyBorder="1" applyAlignment="1"/>
    <xf numFmtId="0" fontId="25" fillId="2" borderId="0" xfId="0" applyFont="1" applyFill="1" applyBorder="1" applyAlignment="1">
      <alignment vertical="center"/>
    </xf>
    <xf numFmtId="0" fontId="2" fillId="2" borderId="0" xfId="0" applyFont="1" applyFill="1" applyBorder="1" applyAlignment="1">
      <alignment vertical="center"/>
    </xf>
    <xf numFmtId="0" fontId="101" fillId="24" borderId="0" xfId="0" applyFont="1" applyFill="1" applyBorder="1" applyAlignment="1">
      <alignment horizontal="left" vertical="center" wrapText="1"/>
    </xf>
    <xf numFmtId="167" fontId="29" fillId="0" borderId="0" xfId="0" applyNumberFormat="1" applyFont="1" applyBorder="1" applyAlignment="1" applyProtection="1">
      <alignment vertical="center" wrapText="1"/>
    </xf>
    <xf numFmtId="0" fontId="29" fillId="0" borderId="0" xfId="0" applyFont="1" applyAlignment="1" applyProtection="1">
      <alignment vertical="center"/>
    </xf>
    <xf numFmtId="0" fontId="29" fillId="0" borderId="0" xfId="0" applyFont="1" applyBorder="1" applyAlignment="1" applyProtection="1">
      <alignment horizontal="left" vertical="top"/>
    </xf>
    <xf numFmtId="167" fontId="29" fillId="0" borderId="0" xfId="0" applyNumberFormat="1" applyFont="1" applyBorder="1" applyAlignment="1" applyProtection="1">
      <alignment vertical="top" wrapText="1"/>
    </xf>
    <xf numFmtId="0" fontId="29" fillId="0" borderId="0" xfId="0" applyFont="1" applyAlignment="1" applyProtection="1">
      <alignment vertical="top"/>
    </xf>
    <xf numFmtId="6" fontId="28" fillId="5" borderId="5" xfId="0" applyNumberFormat="1" applyFont="1" applyFill="1" applyBorder="1" applyAlignment="1" applyProtection="1">
      <alignment vertical="center"/>
      <protection locked="0"/>
    </xf>
    <xf numFmtId="6" fontId="2" fillId="0" borderId="0" xfId="0" applyNumberFormat="1" applyFont="1" applyFill="1" applyBorder="1" applyAlignment="1">
      <alignment horizontal="right" wrapText="1"/>
    </xf>
    <xf numFmtId="0" fontId="0" fillId="0" borderId="13" xfId="0" applyBorder="1"/>
    <xf numFmtId="0" fontId="79" fillId="4" borderId="4" xfId="0" applyFont="1" applyFill="1" applyBorder="1" applyAlignment="1">
      <alignment vertical="center" wrapText="1"/>
    </xf>
    <xf numFmtId="6" fontId="79" fillId="4" borderId="6" xfId="0" applyNumberFormat="1" applyFont="1" applyFill="1" applyBorder="1" applyAlignment="1">
      <alignment vertical="center" wrapText="1"/>
    </xf>
    <xf numFmtId="6" fontId="46" fillId="26" borderId="139" xfId="0" applyNumberFormat="1" applyFont="1" applyFill="1" applyBorder="1" applyAlignment="1">
      <alignment vertical="center" wrapText="1"/>
    </xf>
    <xf numFmtId="6" fontId="79" fillId="4" borderId="5" xfId="0" applyNumberFormat="1" applyFont="1" applyFill="1" applyBorder="1" applyAlignment="1">
      <alignment vertical="center" wrapText="1"/>
    </xf>
    <xf numFmtId="6" fontId="79" fillId="4" borderId="4" xfId="0" applyNumberFormat="1" applyFont="1" applyFill="1" applyBorder="1" applyAlignment="1">
      <alignment vertical="center" wrapText="1"/>
    </xf>
    <xf numFmtId="0" fontId="79" fillId="6" borderId="4" xfId="0" applyFont="1" applyFill="1" applyBorder="1" applyAlignment="1">
      <alignment vertical="center" wrapText="1"/>
    </xf>
    <xf numFmtId="6" fontId="79" fillId="6" borderId="6" xfId="0" applyNumberFormat="1" applyFont="1" applyFill="1" applyBorder="1" applyAlignment="1">
      <alignment horizontal="right" vertical="center" wrapText="1"/>
    </xf>
    <xf numFmtId="6" fontId="46" fillId="25" borderId="140" xfId="0" applyNumberFormat="1" applyFont="1" applyFill="1" applyBorder="1" applyAlignment="1">
      <alignment horizontal="right" vertical="center" wrapText="1"/>
    </xf>
    <xf numFmtId="6" fontId="79" fillId="6" borderId="5" xfId="0" applyNumberFormat="1" applyFont="1" applyFill="1" applyBorder="1" applyAlignment="1">
      <alignment horizontal="right" vertical="center" wrapText="1"/>
    </xf>
    <xf numFmtId="6" fontId="79" fillId="6" borderId="4" xfId="0" applyNumberFormat="1" applyFont="1" applyFill="1" applyBorder="1" applyAlignment="1">
      <alignment horizontal="right" vertical="center" wrapText="1"/>
    </xf>
    <xf numFmtId="9" fontId="79" fillId="6" borderId="6" xfId="1" applyFont="1" applyFill="1" applyBorder="1" applyAlignment="1">
      <alignment horizontal="right" vertical="center" wrapText="1"/>
    </xf>
    <xf numFmtId="9" fontId="46" fillId="25" borderId="140" xfId="1" applyFont="1" applyFill="1" applyBorder="1" applyAlignment="1">
      <alignment horizontal="right" vertical="center" wrapText="1"/>
    </xf>
    <xf numFmtId="9" fontId="79" fillId="6" borderId="5" xfId="1" applyFont="1" applyFill="1" applyBorder="1" applyAlignment="1">
      <alignment horizontal="right" vertical="center" wrapText="1"/>
    </xf>
    <xf numFmtId="9" fontId="79" fillId="6" borderId="4" xfId="1" applyFont="1" applyFill="1" applyBorder="1" applyAlignment="1">
      <alignment horizontal="right" vertical="center" wrapText="1"/>
    </xf>
    <xf numFmtId="0" fontId="78" fillId="2" borderId="0" xfId="0" applyFont="1" applyFill="1" applyBorder="1" applyAlignment="1">
      <alignment vertical="center" wrapText="1"/>
    </xf>
    <xf numFmtId="0" fontId="78" fillId="2" borderId="0" xfId="0" applyFont="1" applyFill="1" applyBorder="1" applyAlignment="1">
      <alignment horizontal="center" vertical="center" wrapText="1"/>
    </xf>
    <xf numFmtId="6" fontId="78" fillId="2" borderId="0" xfId="0" applyNumberFormat="1" applyFont="1" applyFill="1" applyBorder="1" applyAlignment="1">
      <alignment horizontal="right" vertical="center" wrapText="1"/>
    </xf>
    <xf numFmtId="6" fontId="22" fillId="2" borderId="141" xfId="0" applyNumberFormat="1" applyFont="1" applyFill="1" applyBorder="1" applyAlignment="1">
      <alignment horizontal="right" vertical="center" wrapText="1"/>
    </xf>
    <xf numFmtId="0" fontId="78" fillId="2" borderId="4" xfId="0" applyFont="1" applyFill="1" applyBorder="1" applyAlignment="1">
      <alignment vertical="center" wrapText="1"/>
    </xf>
    <xf numFmtId="10" fontId="78" fillId="2" borderId="6" xfId="1" applyNumberFormat="1" applyFont="1" applyFill="1" applyBorder="1" applyAlignment="1">
      <alignment horizontal="right" vertical="center" wrapText="1"/>
    </xf>
    <xf numFmtId="10" fontId="22" fillId="2" borderId="140" xfId="1" applyNumberFormat="1" applyFont="1" applyFill="1" applyBorder="1" applyAlignment="1">
      <alignment horizontal="right" vertical="center" wrapText="1"/>
    </xf>
    <xf numFmtId="10" fontId="78" fillId="2" borderId="5" xfId="1" applyNumberFormat="1" applyFont="1" applyFill="1" applyBorder="1" applyAlignment="1">
      <alignment horizontal="right" vertical="center" wrapText="1"/>
    </xf>
    <xf numFmtId="10" fontId="78" fillId="2" borderId="4" xfId="1" applyNumberFormat="1" applyFont="1" applyFill="1" applyBorder="1" applyAlignment="1">
      <alignment horizontal="right" vertical="center" wrapText="1"/>
    </xf>
    <xf numFmtId="6" fontId="78" fillId="2" borderId="6" xfId="0" applyNumberFormat="1" applyFont="1" applyFill="1" applyBorder="1" applyAlignment="1">
      <alignment horizontal="right" vertical="center" wrapText="1"/>
    </xf>
    <xf numFmtId="6" fontId="22" fillId="2" borderId="140" xfId="0" applyNumberFormat="1" applyFont="1" applyFill="1" applyBorder="1" applyAlignment="1">
      <alignment horizontal="right" vertical="center" wrapText="1"/>
    </xf>
    <xf numFmtId="6" fontId="78" fillId="2" borderId="5" xfId="0" applyNumberFormat="1" applyFont="1" applyFill="1" applyBorder="1" applyAlignment="1">
      <alignment horizontal="right" vertical="center" wrapText="1"/>
    </xf>
    <xf numFmtId="6" fontId="78" fillId="2" borderId="4" xfId="0" applyNumberFormat="1" applyFont="1" applyFill="1" applyBorder="1" applyAlignment="1">
      <alignment horizontal="right" vertical="center" wrapText="1"/>
    </xf>
    <xf numFmtId="0" fontId="42" fillId="0" borderId="141" xfId="0" applyFont="1" applyBorder="1"/>
    <xf numFmtId="0" fontId="110" fillId="2" borderId="0" xfId="0" applyFont="1" applyFill="1" applyBorder="1" applyAlignment="1">
      <alignment vertical="center" wrapText="1"/>
    </xf>
    <xf numFmtId="10" fontId="79" fillId="6" borderId="6" xfId="1" applyNumberFormat="1" applyFont="1" applyFill="1" applyBorder="1" applyAlignment="1">
      <alignment horizontal="right" vertical="center" wrapText="1"/>
    </xf>
    <xf numFmtId="10" fontId="46" fillId="25" borderId="140" xfId="1" applyNumberFormat="1" applyFont="1" applyFill="1" applyBorder="1" applyAlignment="1">
      <alignment horizontal="right" vertical="center" wrapText="1"/>
    </xf>
    <xf numFmtId="10" fontId="79" fillId="6" borderId="5" xfId="1" applyNumberFormat="1" applyFont="1" applyFill="1" applyBorder="1" applyAlignment="1">
      <alignment horizontal="right" vertical="center" wrapText="1"/>
    </xf>
    <xf numFmtId="10" fontId="79" fillId="6" borderId="4" xfId="1" applyNumberFormat="1" applyFont="1" applyFill="1" applyBorder="1" applyAlignment="1">
      <alignment horizontal="right" vertical="center" wrapText="1"/>
    </xf>
    <xf numFmtId="0" fontId="79" fillId="26" borderId="4" xfId="0" applyFont="1" applyFill="1" applyBorder="1" applyAlignment="1">
      <alignment vertical="center" wrapText="1"/>
    </xf>
    <xf numFmtId="6" fontId="79" fillId="26" borderId="6" xfId="0" applyNumberFormat="1" applyFont="1" applyFill="1" applyBorder="1" applyAlignment="1">
      <alignment horizontal="right" vertical="center" wrapText="1"/>
    </xf>
    <xf numFmtId="6" fontId="46" fillId="26" borderId="140" xfId="0" applyNumberFormat="1" applyFont="1" applyFill="1" applyBorder="1" applyAlignment="1">
      <alignment horizontal="right" vertical="center" wrapText="1"/>
    </xf>
    <xf numFmtId="6" fontId="79" fillId="26" borderId="5" xfId="0" applyNumberFormat="1" applyFont="1" applyFill="1" applyBorder="1" applyAlignment="1">
      <alignment horizontal="right" vertical="center" wrapText="1"/>
    </xf>
    <xf numFmtId="6" fontId="79" fillId="26" borderId="4" xfId="0" applyNumberFormat="1" applyFont="1" applyFill="1" applyBorder="1" applyAlignment="1">
      <alignment horizontal="right" vertical="center" wrapText="1"/>
    </xf>
    <xf numFmtId="0" fontId="0" fillId="0" borderId="141" xfId="0" applyBorder="1"/>
    <xf numFmtId="6" fontId="78" fillId="2" borderId="107" xfId="0" applyNumberFormat="1" applyFont="1" applyFill="1" applyBorder="1" applyAlignment="1">
      <alignment horizontal="right" vertical="center" wrapText="1"/>
    </xf>
    <xf numFmtId="10" fontId="78" fillId="2" borderId="4" xfId="0" applyNumberFormat="1" applyFont="1" applyFill="1" applyBorder="1" applyAlignment="1">
      <alignment horizontal="center" vertical="center" wrapText="1"/>
    </xf>
    <xf numFmtId="10" fontId="79" fillId="2" borderId="4" xfId="0" applyNumberFormat="1" applyFont="1" applyFill="1" applyBorder="1" applyAlignment="1">
      <alignment horizontal="center" vertical="center" wrapText="1"/>
    </xf>
    <xf numFmtId="0" fontId="46" fillId="26" borderId="4" xfId="0" applyFont="1" applyFill="1" applyBorder="1" applyAlignment="1">
      <alignment vertical="center" wrapText="1"/>
    </xf>
    <xf numFmtId="6" fontId="46" fillId="26" borderId="6" xfId="0" applyNumberFormat="1" applyFont="1" applyFill="1" applyBorder="1" applyAlignment="1">
      <alignment horizontal="right" vertical="center" wrapText="1"/>
    </xf>
    <xf numFmtId="6" fontId="46" fillId="26" borderId="5" xfId="0" applyNumberFormat="1" applyFont="1" applyFill="1" applyBorder="1" applyAlignment="1">
      <alignment horizontal="right" vertical="center" wrapText="1"/>
    </xf>
    <xf numFmtId="6" fontId="46" fillId="26" borderId="4" xfId="0" applyNumberFormat="1" applyFont="1" applyFill="1" applyBorder="1" applyAlignment="1">
      <alignment horizontal="right" vertical="center" wrapText="1"/>
    </xf>
    <xf numFmtId="6" fontId="46" fillId="25" borderId="142" xfId="0" applyNumberFormat="1" applyFont="1" applyFill="1" applyBorder="1" applyAlignment="1">
      <alignment horizontal="right" vertical="center" wrapText="1"/>
    </xf>
    <xf numFmtId="6" fontId="46" fillId="26" borderId="142" xfId="0" applyNumberFormat="1" applyFont="1" applyFill="1" applyBorder="1" applyAlignment="1">
      <alignment horizontal="right" vertical="center" wrapText="1"/>
    </xf>
    <xf numFmtId="49" fontId="0" fillId="0" borderId="0" xfId="0" applyNumberFormat="1" applyAlignment="1">
      <alignment vertical="center"/>
    </xf>
    <xf numFmtId="0" fontId="98" fillId="0" borderId="0" xfId="0" applyFont="1" applyFill="1" applyAlignment="1">
      <alignment horizontal="left" vertical="center"/>
    </xf>
    <xf numFmtId="0" fontId="15" fillId="0" borderId="0" xfId="2"/>
    <xf numFmtId="9" fontId="79" fillId="2" borderId="4" xfId="0" applyNumberFormat="1" applyFont="1" applyFill="1" applyBorder="1" applyAlignment="1">
      <alignment horizontal="center" vertical="center" wrapText="1"/>
    </xf>
    <xf numFmtId="10" fontId="78" fillId="7" borderId="6" xfId="0" applyNumberFormat="1" applyFont="1" applyFill="1" applyBorder="1" applyAlignment="1" applyProtection="1">
      <alignment horizontal="center" vertical="center" wrapText="1"/>
      <protection locked="0"/>
    </xf>
    <xf numFmtId="10" fontId="78" fillId="7" borderId="4" xfId="0" applyNumberFormat="1" applyFont="1" applyFill="1" applyBorder="1" applyAlignment="1" applyProtection="1">
      <alignment horizontal="center" vertical="center" wrapText="1"/>
      <protection locked="0"/>
    </xf>
    <xf numFmtId="6" fontId="78" fillId="7" borderId="4" xfId="0" applyNumberFormat="1" applyFont="1" applyFill="1" applyBorder="1" applyAlignment="1" applyProtection="1">
      <alignment horizontal="center" vertical="center" wrapText="1"/>
      <protection locked="0"/>
    </xf>
    <xf numFmtId="0" fontId="98" fillId="0" borderId="15" xfId="0" applyFont="1" applyBorder="1" applyAlignment="1">
      <alignment horizontal="center"/>
    </xf>
    <xf numFmtId="0" fontId="78" fillId="2" borderId="8" xfId="0" applyFont="1" applyFill="1" applyBorder="1" applyAlignment="1">
      <alignment horizontal="center" vertical="center" wrapText="1"/>
    </xf>
    <xf numFmtId="0" fontId="79" fillId="25" borderId="4" xfId="0" applyFont="1" applyFill="1" applyBorder="1" applyAlignment="1">
      <alignment vertical="center" wrapText="1"/>
    </xf>
    <xf numFmtId="0" fontId="46" fillId="25" borderId="4" xfId="0" applyFont="1" applyFill="1" applyBorder="1" applyAlignment="1">
      <alignment vertical="center" wrapText="1"/>
    </xf>
    <xf numFmtId="6" fontId="79" fillId="25" borderId="6" xfId="0" applyNumberFormat="1" applyFont="1" applyFill="1" applyBorder="1" applyAlignment="1">
      <alignment horizontal="right" vertical="center" wrapText="1"/>
    </xf>
    <xf numFmtId="6" fontId="79" fillId="25" borderId="5" xfId="0" applyNumberFormat="1" applyFont="1" applyFill="1" applyBorder="1" applyAlignment="1">
      <alignment horizontal="right" vertical="center" wrapText="1"/>
    </xf>
    <xf numFmtId="6" fontId="79" fillId="25" borderId="4" xfId="0" applyNumberFormat="1" applyFont="1" applyFill="1" applyBorder="1" applyAlignment="1">
      <alignment horizontal="right" vertical="center" wrapText="1"/>
    </xf>
    <xf numFmtId="6" fontId="46" fillId="25" borderId="6" xfId="0" applyNumberFormat="1" applyFont="1" applyFill="1" applyBorder="1" applyAlignment="1">
      <alignment horizontal="right" vertical="center" wrapText="1"/>
    </xf>
    <xf numFmtId="6" fontId="46" fillId="25" borderId="5" xfId="0" applyNumberFormat="1" applyFont="1" applyFill="1" applyBorder="1" applyAlignment="1">
      <alignment horizontal="right" vertical="center" wrapText="1"/>
    </xf>
    <xf numFmtId="6" fontId="46" fillId="25" borderId="4" xfId="0" applyNumberFormat="1" applyFont="1" applyFill="1" applyBorder="1" applyAlignment="1">
      <alignment horizontal="right" vertical="center" wrapText="1"/>
    </xf>
    <xf numFmtId="6" fontId="79" fillId="26" borderId="6" xfId="0" applyNumberFormat="1" applyFont="1" applyFill="1" applyBorder="1" applyAlignment="1">
      <alignment vertical="center" wrapText="1"/>
    </xf>
    <xf numFmtId="6" fontId="79" fillId="26" borderId="5" xfId="0" applyNumberFormat="1" applyFont="1" applyFill="1" applyBorder="1" applyAlignment="1">
      <alignment vertical="center" wrapText="1"/>
    </xf>
    <xf numFmtId="6" fontId="79" fillId="26" borderId="4" xfId="0" applyNumberFormat="1" applyFont="1" applyFill="1" applyBorder="1" applyAlignment="1">
      <alignment vertical="center" wrapText="1"/>
    </xf>
    <xf numFmtId="6" fontId="0" fillId="0" borderId="0" xfId="0" applyNumberFormat="1"/>
    <xf numFmtId="14" fontId="1" fillId="7" borderId="0" xfId="0" applyNumberFormat="1" applyFont="1" applyFill="1" applyAlignment="1">
      <alignment vertical="center"/>
    </xf>
    <xf numFmtId="2" fontId="1" fillId="7" borderId="0" xfId="0" applyNumberFormat="1" applyFont="1" applyFill="1" applyAlignment="1">
      <alignment vertical="center"/>
    </xf>
    <xf numFmtId="0" fontId="71" fillId="0" borderId="0" xfId="0" applyFont="1" applyAlignment="1" applyProtection="1">
      <alignment vertical="center"/>
    </xf>
    <xf numFmtId="0" fontId="11" fillId="7" borderId="0" xfId="0" applyFont="1" applyFill="1" applyAlignment="1" applyProtection="1">
      <alignment vertical="center"/>
      <protection hidden="1"/>
    </xf>
    <xf numFmtId="6" fontId="1" fillId="7" borderId="0" xfId="0" applyNumberFormat="1" applyFont="1" applyFill="1" applyBorder="1" applyAlignment="1">
      <alignment horizontal="right" vertical="center" wrapText="1"/>
    </xf>
    <xf numFmtId="0" fontId="7" fillId="0" borderId="0" xfId="0" applyFont="1" applyBorder="1" applyAlignment="1">
      <alignment horizontal="center" vertical="center" wrapText="1"/>
    </xf>
    <xf numFmtId="0" fontId="97" fillId="2" borderId="0" xfId="0" applyFont="1" applyFill="1" applyBorder="1" applyAlignment="1" applyProtection="1">
      <alignment horizontal="center" wrapText="1"/>
    </xf>
    <xf numFmtId="0" fontId="0" fillId="8" borderId="134" xfId="0" applyFill="1" applyBorder="1" applyAlignment="1" applyProtection="1">
      <alignment horizontal="center" vertical="center"/>
      <protection locked="0"/>
    </xf>
    <xf numFmtId="0" fontId="11" fillId="7" borderId="0" xfId="0" applyFont="1" applyFill="1" applyAlignment="1" applyProtection="1">
      <alignment vertical="center"/>
      <protection hidden="1"/>
    </xf>
    <xf numFmtId="0" fontId="11" fillId="7" borderId="4" xfId="0" applyFont="1" applyFill="1" applyBorder="1" applyAlignment="1" applyProtection="1">
      <alignment horizontal="left" vertical="center"/>
      <protection hidden="1"/>
    </xf>
    <xf numFmtId="49" fontId="11" fillId="0" borderId="0" xfId="0" applyNumberFormat="1" applyFont="1" applyAlignment="1">
      <alignment vertical="center"/>
    </xf>
    <xf numFmtId="49" fontId="1" fillId="0" borderId="0" xfId="0" applyNumberFormat="1" applyFont="1" applyAlignment="1">
      <alignment vertical="center"/>
    </xf>
    <xf numFmtId="0" fontId="12" fillId="0" borderId="0" xfId="0" applyFont="1" applyAlignment="1">
      <alignment horizontal="right"/>
    </xf>
    <xf numFmtId="0" fontId="1" fillId="5" borderId="0" xfId="0" applyFont="1" applyFill="1" applyBorder="1" applyAlignment="1">
      <alignment horizontal="left" vertical="center"/>
    </xf>
    <xf numFmtId="167" fontId="1" fillId="5" borderId="0" xfId="3" applyNumberFormat="1" applyFont="1" applyFill="1" applyBorder="1" applyAlignment="1">
      <alignment vertical="center"/>
    </xf>
    <xf numFmtId="0" fontId="112" fillId="0" borderId="0" xfId="0" applyFont="1" applyAlignment="1">
      <alignment vertical="center"/>
    </xf>
    <xf numFmtId="0" fontId="11" fillId="7" borderId="32" xfId="0" applyFont="1" applyFill="1" applyBorder="1" applyAlignment="1" applyProtection="1">
      <alignment vertical="top"/>
      <protection locked="0" hidden="1"/>
    </xf>
    <xf numFmtId="14" fontId="11" fillId="7" borderId="33" xfId="0" applyNumberFormat="1" applyFont="1" applyFill="1" applyBorder="1" applyAlignment="1" applyProtection="1">
      <alignment vertical="top"/>
      <protection locked="0" hidden="1"/>
    </xf>
    <xf numFmtId="0" fontId="11" fillId="7" borderId="34" xfId="0" applyFont="1" applyFill="1" applyBorder="1" applyAlignment="1" applyProtection="1">
      <alignment vertical="top"/>
      <protection locked="0" hidden="1"/>
    </xf>
    <xf numFmtId="167" fontId="11" fillId="0" borderId="0" xfId="3" applyNumberFormat="1" applyFont="1" applyAlignment="1" applyProtection="1">
      <alignment vertical="center"/>
      <protection locked="0" hidden="1"/>
    </xf>
    <xf numFmtId="0" fontId="11" fillId="0" borderId="0" xfId="0" applyFont="1" applyAlignment="1" applyProtection="1">
      <alignment horizontal="center" vertical="top"/>
      <protection locked="0" hidden="1"/>
    </xf>
    <xf numFmtId="0" fontId="11" fillId="7" borderId="38" xfId="0" applyFont="1" applyFill="1" applyBorder="1" applyAlignment="1" applyProtection="1">
      <alignment vertical="top"/>
      <protection locked="0" hidden="1"/>
    </xf>
    <xf numFmtId="14" fontId="11" fillId="7" borderId="39" xfId="0" applyNumberFormat="1" applyFont="1" applyFill="1" applyBorder="1" applyAlignment="1" applyProtection="1">
      <alignment vertical="top"/>
      <protection locked="0" hidden="1"/>
    </xf>
    <xf numFmtId="0" fontId="11" fillId="8" borderId="36" xfId="0" applyFont="1" applyFill="1" applyBorder="1" applyAlignment="1" applyProtection="1">
      <alignment horizontal="center" vertical="top"/>
      <protection locked="0" hidden="1"/>
    </xf>
    <xf numFmtId="0" fontId="11" fillId="7" borderId="40" xfId="0" applyFont="1" applyFill="1" applyBorder="1" applyAlignment="1" applyProtection="1">
      <alignment vertical="top"/>
      <protection locked="0" hidden="1"/>
    </xf>
    <xf numFmtId="167" fontId="11" fillId="0" borderId="0" xfId="0" applyNumberFormat="1" applyFont="1" applyAlignment="1" applyProtection="1">
      <alignment vertical="top"/>
      <protection locked="0" hidden="1"/>
    </xf>
    <xf numFmtId="0" fontId="48" fillId="0" borderId="0" xfId="0" applyFont="1" applyAlignment="1">
      <alignment vertical="center"/>
    </xf>
    <xf numFmtId="0" fontId="20" fillId="0" borderId="0" xfId="0" applyFont="1" applyBorder="1" applyAlignment="1">
      <alignment horizontal="left" vertical="top"/>
    </xf>
    <xf numFmtId="0" fontId="48" fillId="0" borderId="0" xfId="0" applyFont="1" applyBorder="1" applyAlignment="1">
      <alignment vertical="center"/>
    </xf>
    <xf numFmtId="0" fontId="29" fillId="0" borderId="0" xfId="0" applyFont="1" applyBorder="1" applyAlignment="1">
      <alignment horizontal="left" vertical="top"/>
    </xf>
    <xf numFmtId="0" fontId="95" fillId="0" borderId="7" xfId="0" applyFont="1" applyBorder="1" applyAlignment="1">
      <alignment vertical="center" wrapText="1"/>
    </xf>
    <xf numFmtId="0" fontId="48" fillId="0" borderId="0" xfId="0" applyFont="1" applyFill="1" applyAlignment="1">
      <alignment vertical="center"/>
    </xf>
    <xf numFmtId="0" fontId="20" fillId="0" borderId="0" xfId="0" applyFont="1" applyAlignment="1">
      <alignment vertical="top"/>
    </xf>
    <xf numFmtId="0" fontId="48" fillId="0" borderId="0" xfId="0" applyFont="1" applyAlignment="1">
      <alignment vertical="top"/>
    </xf>
    <xf numFmtId="0" fontId="48" fillId="0" borderId="11" xfId="0" applyFont="1" applyBorder="1" applyAlignment="1">
      <alignment vertical="center"/>
    </xf>
    <xf numFmtId="0" fontId="117" fillId="0" borderId="0" xfId="0" applyFont="1" applyBorder="1" applyAlignment="1" applyProtection="1">
      <alignment vertical="center" wrapText="1"/>
    </xf>
    <xf numFmtId="0" fontId="117" fillId="0" borderId="0" xfId="0" applyFont="1" applyBorder="1" applyAlignment="1" applyProtection="1">
      <alignment horizontal="left" vertical="center" wrapText="1"/>
    </xf>
    <xf numFmtId="167" fontId="69" fillId="0" borderId="0" xfId="0" applyNumberFormat="1" applyFont="1" applyBorder="1" applyAlignment="1" applyProtection="1">
      <alignment vertical="center" wrapText="1"/>
    </xf>
    <xf numFmtId="0" fontId="63" fillId="0" borderId="0" xfId="0" applyFont="1" applyAlignment="1" applyProtection="1">
      <alignment vertical="center"/>
    </xf>
    <xf numFmtId="0" fontId="119" fillId="2" borderId="0" xfId="0" applyFont="1" applyFill="1" applyBorder="1" applyAlignment="1" applyProtection="1">
      <alignment vertical="center" wrapText="1"/>
    </xf>
    <xf numFmtId="0" fontId="69" fillId="0" borderId="0" xfId="0" applyFont="1" applyBorder="1" applyAlignment="1" applyProtection="1">
      <alignment horizontal="left" vertical="top" wrapText="1"/>
    </xf>
    <xf numFmtId="0" fontId="118" fillId="0" borderId="0" xfId="0" applyFont="1" applyBorder="1" applyAlignment="1" applyProtection="1">
      <alignment horizontal="left" vertical="top"/>
    </xf>
    <xf numFmtId="0" fontId="63" fillId="0" borderId="0" xfId="0" applyFont="1" applyBorder="1" applyAlignment="1" applyProtection="1">
      <alignment horizontal="left" vertical="top"/>
    </xf>
    <xf numFmtId="0" fontId="63" fillId="0" borderId="0" xfId="0" applyFont="1" applyBorder="1" applyAlignment="1" applyProtection="1">
      <alignment vertical="center"/>
    </xf>
    <xf numFmtId="0" fontId="63" fillId="0" borderId="0" xfId="0" applyFont="1" applyAlignment="1">
      <alignment vertical="center"/>
    </xf>
    <xf numFmtId="0" fontId="69" fillId="0" borderId="0" xfId="0" applyFont="1" applyAlignment="1">
      <alignment vertical="center"/>
    </xf>
    <xf numFmtId="0" fontId="117" fillId="0" borderId="0" xfId="0" applyFont="1" applyBorder="1" applyAlignment="1">
      <alignment horizontal="left" vertical="center" wrapText="1"/>
    </xf>
    <xf numFmtId="0" fontId="117" fillId="0" borderId="0" xfId="0" applyFont="1" applyBorder="1" applyAlignment="1">
      <alignment vertical="center" wrapText="1"/>
    </xf>
    <xf numFmtId="0" fontId="118" fillId="9" borderId="0" xfId="0" applyFont="1" applyFill="1" applyBorder="1" applyAlignment="1" applyProtection="1">
      <alignment vertical="center"/>
      <protection locked="0"/>
    </xf>
    <xf numFmtId="0" fontId="69" fillId="0" borderId="0" xfId="0" applyFont="1" applyBorder="1" applyAlignment="1">
      <alignment vertical="center"/>
    </xf>
    <xf numFmtId="0" fontId="114" fillId="9" borderId="0" xfId="0" applyFont="1" applyFill="1" applyBorder="1" applyAlignment="1">
      <alignment vertical="center" wrapText="1"/>
    </xf>
    <xf numFmtId="0" fontId="69" fillId="9" borderId="0" xfId="0" applyFont="1" applyFill="1" applyBorder="1" applyAlignment="1" applyProtection="1">
      <alignment vertical="center"/>
      <protection locked="0"/>
    </xf>
    <xf numFmtId="0" fontId="69" fillId="9" borderId="0" xfId="0" applyFont="1" applyFill="1" applyBorder="1" applyAlignment="1">
      <alignment vertical="center" wrapText="1"/>
    </xf>
    <xf numFmtId="0" fontId="120" fillId="9" borderId="0" xfId="0" applyFont="1" applyFill="1" applyBorder="1" applyAlignment="1">
      <alignment vertical="center"/>
    </xf>
    <xf numFmtId="0" fontId="115" fillId="2" borderId="0" xfId="0" applyFont="1" applyFill="1" applyBorder="1" applyAlignment="1" applyProtection="1">
      <alignment wrapText="1"/>
      <protection hidden="1"/>
    </xf>
    <xf numFmtId="0" fontId="118" fillId="2" borderId="0" xfId="0" applyFont="1" applyFill="1" applyBorder="1" applyAlignment="1" applyProtection="1">
      <alignment horizontal="center" wrapText="1"/>
    </xf>
    <xf numFmtId="0" fontId="63" fillId="0" borderId="0" xfId="0" applyFont="1" applyBorder="1" applyAlignment="1" applyProtection="1">
      <alignment horizontal="center" vertical="center"/>
    </xf>
    <xf numFmtId="0" fontId="63" fillId="0" borderId="0" xfId="0" applyFont="1" applyAlignment="1" applyProtection="1">
      <alignment vertical="center"/>
      <protection hidden="1"/>
    </xf>
    <xf numFmtId="0" fontId="118" fillId="2" borderId="0" xfId="0" applyFont="1" applyFill="1" applyBorder="1" applyAlignment="1" applyProtection="1">
      <alignment horizontal="left" vertical="top" wrapText="1"/>
    </xf>
    <xf numFmtId="0" fontId="124" fillId="0" borderId="0" xfId="0" applyFont="1" applyBorder="1" applyAlignment="1">
      <alignment vertical="center"/>
    </xf>
    <xf numFmtId="0" fontId="63" fillId="0" borderId="0" xfId="0" applyFont="1" applyBorder="1" applyAlignment="1">
      <alignment vertical="center"/>
    </xf>
    <xf numFmtId="0" fontId="11" fillId="0" borderId="0" xfId="0" applyFont="1" applyFill="1" applyAlignment="1" applyProtection="1">
      <alignment vertical="center"/>
      <protection hidden="1"/>
    </xf>
    <xf numFmtId="0" fontId="10" fillId="5" borderId="0" xfId="0" applyFont="1" applyFill="1" applyBorder="1" applyAlignment="1">
      <alignment vertical="center"/>
    </xf>
    <xf numFmtId="0" fontId="127" fillId="0" borderId="0" xfId="0" applyFont="1" applyBorder="1" applyAlignment="1">
      <alignment horizontal="center" vertical="center" wrapText="1"/>
    </xf>
    <xf numFmtId="0" fontId="3" fillId="9" borderId="0" xfId="0" applyFont="1" applyFill="1" applyBorder="1" applyAlignment="1">
      <alignment horizontal="left" vertical="center" wrapText="1"/>
    </xf>
    <xf numFmtId="6" fontId="11" fillId="7" borderId="0" xfId="0" applyNumberFormat="1" applyFont="1" applyFill="1" applyBorder="1" applyAlignment="1">
      <alignment horizontal="right" vertical="center" wrapText="1"/>
    </xf>
    <xf numFmtId="0" fontId="11" fillId="7" borderId="0" xfId="0" applyFont="1" applyFill="1" applyBorder="1"/>
    <xf numFmtId="0" fontId="11" fillId="7" borderId="0" xfId="0" applyNumberFormat="1" applyFont="1" applyFill="1" applyBorder="1"/>
    <xf numFmtId="6" fontId="11" fillId="7" borderId="0" xfId="0" applyNumberFormat="1" applyFont="1" applyFill="1" applyBorder="1"/>
    <xf numFmtId="167" fontId="11" fillId="7" borderId="0" xfId="0" applyNumberFormat="1" applyFont="1" applyFill="1" applyBorder="1" applyAlignment="1">
      <alignment horizontal="center"/>
    </xf>
    <xf numFmtId="0" fontId="1" fillId="7" borderId="0" xfId="0" applyFont="1" applyFill="1" applyBorder="1"/>
    <xf numFmtId="0" fontId="10" fillId="0" borderId="0" xfId="0" applyFont="1" applyAlignment="1">
      <alignment vertical="center"/>
    </xf>
    <xf numFmtId="0" fontId="1" fillId="7" borderId="0" xfId="0" applyFont="1" applyFill="1" applyBorder="1" applyAlignment="1">
      <alignment horizontal="center"/>
    </xf>
    <xf numFmtId="0" fontId="1" fillId="7" borderId="0" xfId="0" applyNumberFormat="1" applyFont="1" applyFill="1" applyBorder="1"/>
    <xf numFmtId="6" fontId="1" fillId="7" borderId="0" xfId="0" applyNumberFormat="1" applyFont="1" applyFill="1" applyBorder="1"/>
    <xf numFmtId="167" fontId="1" fillId="7" borderId="0" xfId="0" applyNumberFormat="1" applyFont="1" applyFill="1" applyBorder="1" applyAlignment="1">
      <alignment horizontal="center"/>
    </xf>
    <xf numFmtId="9" fontId="1" fillId="7" borderId="0" xfId="1" applyFont="1" applyFill="1" applyBorder="1"/>
    <xf numFmtId="9" fontId="1" fillId="7" borderId="0" xfId="1" applyFont="1" applyFill="1" applyBorder="1" applyAlignment="1">
      <alignment horizontal="right"/>
    </xf>
    <xf numFmtId="6" fontId="11" fillId="7" borderId="0" xfId="0" applyNumberFormat="1" applyFont="1" applyFill="1" applyBorder="1" applyAlignment="1">
      <alignment horizontal="left" vertical="center" wrapText="1"/>
    </xf>
    <xf numFmtId="6" fontId="11" fillId="7" borderId="0" xfId="0" applyNumberFormat="1" applyFont="1" applyFill="1" applyBorder="1" applyAlignment="1">
      <alignment horizontal="right" vertical="center" wrapText="1"/>
    </xf>
    <xf numFmtId="167" fontId="1" fillId="7" borderId="0" xfId="3" applyNumberFormat="1" applyFont="1" applyFill="1" applyAlignment="1" applyProtection="1">
      <alignment horizontal="center" vertical="center"/>
      <protection locked="0" hidden="1"/>
    </xf>
    <xf numFmtId="0" fontId="1" fillId="0" borderId="0" xfId="0" applyFont="1" applyAlignment="1" applyProtection="1">
      <alignment horizontal="left" vertical="center"/>
      <protection hidden="1"/>
    </xf>
    <xf numFmtId="0" fontId="1" fillId="0" borderId="0" xfId="0" applyFont="1" applyAlignment="1" applyProtection="1">
      <alignment horizontal="left" vertical="center"/>
      <protection locked="0" hidden="1"/>
    </xf>
    <xf numFmtId="0" fontId="11" fillId="0" borderId="0" xfId="0" applyFont="1" applyAlignment="1" applyProtection="1">
      <alignment horizontal="left" vertical="center"/>
      <protection hidden="1"/>
    </xf>
    <xf numFmtId="167" fontId="114" fillId="8" borderId="6" xfId="0" applyNumberFormat="1" applyFont="1" applyFill="1" applyBorder="1" applyAlignment="1" applyProtection="1">
      <alignment vertical="center"/>
      <protection locked="0"/>
    </xf>
    <xf numFmtId="14" fontId="10" fillId="7" borderId="4" xfId="0" applyNumberFormat="1" applyFont="1" applyFill="1" applyBorder="1" applyAlignment="1" applyProtection="1">
      <alignment vertical="center"/>
    </xf>
    <xf numFmtId="0" fontId="11" fillId="7" borderId="0" xfId="0" applyFont="1" applyFill="1" applyAlignment="1" applyProtection="1">
      <alignment vertical="center"/>
      <protection locked="0" hidden="1"/>
    </xf>
    <xf numFmtId="0" fontId="69" fillId="0" borderId="0" xfId="0" applyFont="1" applyBorder="1" applyAlignment="1">
      <alignment horizontal="center" vertical="center" wrapText="1"/>
    </xf>
    <xf numFmtId="0" fontId="69" fillId="0" borderId="0" xfId="0" applyFont="1" applyAlignment="1" applyProtection="1">
      <alignment horizontal="center" vertical="center"/>
      <protection locked="0" hidden="1"/>
    </xf>
    <xf numFmtId="0" fontId="118" fillId="2" borderId="43" xfId="0" applyFont="1" applyFill="1" applyBorder="1" applyAlignment="1">
      <alignment horizontal="center" wrapText="1"/>
    </xf>
    <xf numFmtId="0" fontId="61" fillId="0" borderId="0" xfId="0" applyFont="1" applyFill="1" applyBorder="1" applyAlignment="1">
      <alignment horizontal="left" vertical="center"/>
    </xf>
    <xf numFmtId="0" fontId="118" fillId="0" borderId="0" xfId="0" applyFont="1" applyBorder="1" applyAlignment="1" applyProtection="1">
      <alignment horizontal="left" vertical="center" wrapText="1"/>
    </xf>
    <xf numFmtId="0" fontId="1" fillId="8" borderId="0" xfId="0" applyFont="1" applyFill="1" applyBorder="1" applyAlignment="1">
      <alignment horizontal="left" vertical="center"/>
    </xf>
    <xf numFmtId="0" fontId="10" fillId="8" borderId="0" xfId="0" applyFont="1" applyFill="1" applyBorder="1" applyAlignment="1">
      <alignment vertical="center"/>
    </xf>
    <xf numFmtId="167" fontId="1" fillId="8" borderId="0" xfId="3" applyNumberFormat="1" applyFont="1" applyFill="1" applyBorder="1" applyAlignment="1">
      <alignment vertical="center"/>
    </xf>
    <xf numFmtId="0" fontId="11" fillId="8" borderId="0" xfId="0" applyFont="1" applyFill="1" applyBorder="1" applyAlignment="1">
      <alignment horizontal="left" vertical="center"/>
    </xf>
    <xf numFmtId="167" fontId="11" fillId="8" borderId="0" xfId="3" applyNumberFormat="1" applyFont="1" applyFill="1" applyBorder="1" applyAlignment="1">
      <alignment horizontal="left" vertical="center"/>
    </xf>
    <xf numFmtId="0" fontId="1" fillId="8" borderId="0" xfId="0" applyFont="1" applyFill="1" applyBorder="1" applyAlignment="1">
      <alignment vertical="center"/>
    </xf>
    <xf numFmtId="0" fontId="11" fillId="8" borderId="143" xfId="0" applyFont="1" applyFill="1" applyBorder="1" applyAlignment="1">
      <alignment horizontal="left" vertical="center"/>
    </xf>
    <xf numFmtId="0" fontId="1" fillId="8" borderId="0" xfId="0" applyFont="1" applyFill="1" applyBorder="1" applyAlignment="1" applyProtection="1">
      <alignment vertical="center"/>
      <protection locked="0"/>
    </xf>
    <xf numFmtId="0" fontId="74" fillId="8" borderId="0" xfId="0" applyFont="1" applyFill="1" applyBorder="1" applyAlignment="1">
      <alignment vertical="center"/>
    </xf>
    <xf numFmtId="167" fontId="11" fillId="8" borderId="0" xfId="3" applyNumberFormat="1" applyFont="1" applyFill="1" applyBorder="1" applyAlignment="1">
      <alignment vertical="center"/>
    </xf>
    <xf numFmtId="164" fontId="11" fillId="8" borderId="0" xfId="0" applyNumberFormat="1" applyFont="1" applyFill="1" applyBorder="1" applyAlignment="1">
      <alignment vertical="center"/>
    </xf>
    <xf numFmtId="0" fontId="11" fillId="8" borderId="0" xfId="0" applyFont="1" applyFill="1" applyBorder="1" applyAlignment="1">
      <alignment vertical="center"/>
    </xf>
    <xf numFmtId="0" fontId="113" fillId="8" borderId="0" xfId="0" applyFont="1" applyFill="1" applyBorder="1" applyAlignment="1">
      <alignment vertical="center" wrapText="1"/>
    </xf>
    <xf numFmtId="0" fontId="100" fillId="7" borderId="0" xfId="0" applyFont="1" applyFill="1" applyAlignment="1">
      <alignment vertical="center"/>
    </xf>
    <xf numFmtId="0" fontId="11" fillId="8" borderId="143" xfId="0" applyFont="1" applyFill="1" applyBorder="1" applyAlignment="1">
      <alignment vertical="center"/>
    </xf>
    <xf numFmtId="0" fontId="77" fillId="2" borderId="0" xfId="0" applyFont="1" applyFill="1" applyBorder="1" applyAlignment="1">
      <alignment horizontal="left" vertical="center" wrapText="1"/>
    </xf>
    <xf numFmtId="0" fontId="77" fillId="7" borderId="0" xfId="0" applyFont="1" applyFill="1" applyBorder="1" applyAlignment="1">
      <alignment vertical="center"/>
    </xf>
    <xf numFmtId="0" fontId="113" fillId="7" borderId="0" xfId="0" applyFont="1" applyFill="1" applyBorder="1" applyAlignment="1">
      <alignment horizontal="left"/>
    </xf>
    <xf numFmtId="0" fontId="74" fillId="7" borderId="0" xfId="0" applyFont="1" applyFill="1" applyBorder="1" applyAlignment="1" applyProtection="1">
      <alignment vertical="center"/>
      <protection hidden="1"/>
    </xf>
    <xf numFmtId="0" fontId="74" fillId="7" borderId="0" xfId="0" applyFont="1" applyFill="1" applyAlignment="1">
      <alignment vertical="center"/>
    </xf>
    <xf numFmtId="0" fontId="3" fillId="7" borderId="0" xfId="0" applyFont="1" applyFill="1" applyBorder="1" applyAlignment="1">
      <alignment horizontal="left"/>
    </xf>
    <xf numFmtId="0" fontId="11" fillId="7" borderId="0" xfId="0" applyFont="1" applyFill="1" applyBorder="1" applyAlignment="1">
      <alignment vertical="center"/>
    </xf>
    <xf numFmtId="0" fontId="134" fillId="7" borderId="0" xfId="2" applyFont="1" applyFill="1" applyBorder="1" applyAlignment="1"/>
    <xf numFmtId="0" fontId="11" fillId="0" borderId="0" xfId="0" applyFont="1" applyAlignment="1" applyProtection="1">
      <alignment vertical="center"/>
      <protection locked="0" hidden="1"/>
    </xf>
    <xf numFmtId="0" fontId="74" fillId="7" borderId="4" xfId="0" applyFont="1" applyFill="1" applyBorder="1" applyAlignment="1">
      <alignment horizontal="center"/>
    </xf>
    <xf numFmtId="0" fontId="74" fillId="7" borderId="4" xfId="0" applyFont="1" applyFill="1" applyBorder="1"/>
    <xf numFmtId="0" fontId="11" fillId="14" borderId="0" xfId="0" applyFont="1" applyFill="1" applyAlignment="1">
      <alignment vertical="center"/>
    </xf>
    <xf numFmtId="0" fontId="11" fillId="14" borderId="0" xfId="0" applyFont="1" applyFill="1" applyAlignment="1" applyProtection="1">
      <alignment vertical="top"/>
      <protection locked="0" hidden="1"/>
    </xf>
    <xf numFmtId="0" fontId="1" fillId="14" borderId="0" xfId="0" applyFont="1" applyFill="1" applyAlignment="1" applyProtection="1">
      <alignment vertical="top"/>
      <protection locked="0" hidden="1"/>
    </xf>
    <xf numFmtId="0" fontId="1" fillId="14" borderId="0" xfId="0" applyFont="1" applyFill="1" applyAlignment="1" applyProtection="1">
      <alignment vertical="center"/>
      <protection locked="0" hidden="1"/>
    </xf>
    <xf numFmtId="167" fontId="20" fillId="0" borderId="0" xfId="0" applyNumberFormat="1" applyFont="1" applyBorder="1" applyAlignment="1" applyProtection="1">
      <alignment horizontal="center"/>
    </xf>
    <xf numFmtId="0" fontId="48" fillId="0" borderId="0" xfId="0" applyFont="1" applyBorder="1" applyAlignment="1" applyProtection="1">
      <alignment horizontal="center"/>
    </xf>
    <xf numFmtId="0" fontId="48" fillId="0" borderId="39" xfId="0" applyFont="1" applyBorder="1" applyAlignment="1">
      <alignment horizontal="left"/>
    </xf>
    <xf numFmtId="0" fontId="137" fillId="0" borderId="40" xfId="0" applyFont="1" applyBorder="1" applyAlignment="1" applyProtection="1">
      <alignment horizontal="left"/>
    </xf>
    <xf numFmtId="0" fontId="118" fillId="0" borderId="0" xfId="0" applyFont="1" applyBorder="1" applyAlignment="1" applyProtection="1">
      <alignment horizontal="center" wrapText="1"/>
      <protection hidden="1"/>
    </xf>
    <xf numFmtId="0" fontId="117" fillId="0" borderId="0" xfId="0" applyFont="1" applyBorder="1" applyAlignment="1">
      <alignment horizontal="left" vertical="center" wrapText="1"/>
    </xf>
    <xf numFmtId="0" fontId="20" fillId="0" borderId="0" xfId="0" applyFont="1" applyBorder="1" applyAlignment="1">
      <alignment horizontal="left" vertical="top"/>
    </xf>
    <xf numFmtId="0" fontId="29" fillId="0" borderId="0" xfId="0" applyFont="1" applyBorder="1" applyAlignment="1">
      <alignment horizontal="left" vertical="top"/>
    </xf>
    <xf numFmtId="0" fontId="11" fillId="7" borderId="0" xfId="0" applyFont="1" applyFill="1" applyAlignment="1" applyProtection="1">
      <alignment vertical="center"/>
      <protection hidden="1"/>
    </xf>
    <xf numFmtId="0" fontId="11" fillId="7" borderId="0" xfId="0" applyFont="1" applyFill="1" applyAlignment="1" applyProtection="1">
      <alignment vertical="center"/>
      <protection hidden="1"/>
    </xf>
    <xf numFmtId="0" fontId="118" fillId="2" borderId="0" xfId="0" applyFont="1" applyFill="1" applyBorder="1" applyAlignment="1" applyProtection="1">
      <alignment horizontal="center" wrapText="1"/>
    </xf>
    <xf numFmtId="0" fontId="20" fillId="0" borderId="0" xfId="0" applyFont="1" applyBorder="1" applyAlignment="1">
      <alignment horizontal="left" vertical="top"/>
    </xf>
    <xf numFmtId="0" fontId="124" fillId="0" borderId="0" xfId="0" applyFont="1" applyBorder="1" applyAlignment="1">
      <alignment horizontal="left" vertical="center"/>
    </xf>
    <xf numFmtId="6" fontId="1" fillId="7" borderId="0" xfId="0" applyNumberFormat="1" applyFont="1" applyFill="1" applyBorder="1" applyAlignment="1">
      <alignment horizontal="right" vertical="center" wrapText="1"/>
    </xf>
    <xf numFmtId="0" fontId="11" fillId="0" borderId="0" xfId="0" applyFont="1" applyAlignment="1">
      <alignment horizontal="left" vertical="top"/>
    </xf>
    <xf numFmtId="0" fontId="63" fillId="0" borderId="0" xfId="0" applyFont="1" applyBorder="1" applyAlignment="1">
      <alignment horizontal="left" vertical="center"/>
    </xf>
    <xf numFmtId="0" fontId="133" fillId="0" borderId="55" xfId="0" applyFont="1" applyBorder="1" applyAlignment="1">
      <alignment horizontal="left" vertical="center"/>
    </xf>
    <xf numFmtId="0" fontId="28" fillId="0" borderId="0" xfId="0" applyFont="1" applyBorder="1" applyAlignment="1">
      <alignment horizontal="left" vertical="top" wrapText="1"/>
    </xf>
    <xf numFmtId="0" fontId="1" fillId="9" borderId="12" xfId="0" applyFont="1" applyFill="1" applyBorder="1" applyAlignment="1" applyProtection="1">
      <alignment vertical="center"/>
      <protection locked="0"/>
    </xf>
    <xf numFmtId="0" fontId="0" fillId="0" borderId="0" xfId="0" quotePrefix="1" applyAlignment="1"/>
    <xf numFmtId="0" fontId="61" fillId="0" borderId="0" xfId="0"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42" fillId="0" borderId="0" xfId="0" applyFont="1" applyAlignment="1">
      <alignment horizontal="center" vertical="center"/>
    </xf>
    <xf numFmtId="0" fontId="42" fillId="0" borderId="0" xfId="0" applyFont="1" applyFill="1" applyAlignment="1">
      <alignment horizontal="center" vertical="center"/>
    </xf>
    <xf numFmtId="0" fontId="36" fillId="8" borderId="4" xfId="0" applyFont="1" applyFill="1" applyBorder="1" applyAlignment="1" applyProtection="1">
      <alignment horizontal="center" vertical="center"/>
      <protection locked="0"/>
    </xf>
    <xf numFmtId="6" fontId="104" fillId="8" borderId="6" xfId="0" applyNumberFormat="1" applyFont="1" applyFill="1" applyBorder="1" applyAlignment="1" applyProtection="1">
      <alignment vertical="center"/>
      <protection locked="0"/>
    </xf>
    <xf numFmtId="0" fontId="140" fillId="0" borderId="0" xfId="0" applyFont="1" applyBorder="1" applyAlignment="1">
      <alignment horizontal="center"/>
    </xf>
    <xf numFmtId="0" fontId="20" fillId="0" borderId="10" xfId="0" applyFont="1" applyBorder="1" applyAlignment="1">
      <alignment vertical="top"/>
    </xf>
    <xf numFmtId="0" fontId="119" fillId="2" borderId="0" xfId="0" applyFont="1" applyFill="1" applyBorder="1" applyAlignment="1" applyProtection="1">
      <alignment vertical="center"/>
    </xf>
    <xf numFmtId="0" fontId="117" fillId="0" borderId="0" xfId="0" applyFont="1" applyBorder="1" applyAlignment="1" applyProtection="1">
      <alignment vertical="center"/>
    </xf>
    <xf numFmtId="0" fontId="63" fillId="0" borderId="12" xfId="0" applyFont="1" applyBorder="1" applyAlignment="1">
      <alignment vertical="center"/>
    </xf>
    <xf numFmtId="6" fontId="10" fillId="14" borderId="0" xfId="0" applyNumberFormat="1" applyFont="1" applyFill="1" applyBorder="1" applyAlignment="1">
      <alignment horizontal="right" vertical="center" wrapText="1"/>
    </xf>
    <xf numFmtId="0" fontId="141" fillId="0" borderId="0" xfId="0" applyFont="1" applyAlignment="1" applyProtection="1">
      <alignment horizontal="left" vertical="center"/>
    </xf>
    <xf numFmtId="0" fontId="63" fillId="0" borderId="0" xfId="0" applyFont="1" applyAlignment="1" applyProtection="1">
      <alignment horizontal="left" vertical="center"/>
      <protection hidden="1"/>
    </xf>
    <xf numFmtId="167" fontId="69" fillId="0" borderId="0" xfId="0" applyNumberFormat="1" applyFont="1" applyBorder="1" applyAlignment="1" applyProtection="1">
      <alignment vertical="center"/>
    </xf>
    <xf numFmtId="0" fontId="143" fillId="0" borderId="0" xfId="0" applyFont="1" applyFill="1" applyBorder="1" applyAlignment="1">
      <alignment horizontal="left" vertical="center"/>
    </xf>
    <xf numFmtId="0" fontId="132" fillId="0" borderId="0" xfId="0" applyFont="1" applyBorder="1" applyAlignment="1">
      <alignment vertical="center"/>
    </xf>
    <xf numFmtId="0" fontId="63" fillId="0" borderId="0" xfId="0" applyFont="1" applyBorder="1" applyAlignment="1">
      <alignment horizontal="center" vertical="top"/>
    </xf>
    <xf numFmtId="0" fontId="28" fillId="0" borderId="0" xfId="0" applyFont="1" applyBorder="1" applyAlignment="1">
      <alignment horizontal="left" vertical="center" wrapText="1"/>
    </xf>
    <xf numFmtId="0" fontId="0" fillId="0" borderId="12" xfId="0" applyBorder="1" applyAlignment="1">
      <alignment vertical="center"/>
    </xf>
    <xf numFmtId="0" fontId="145" fillId="8" borderId="147" xfId="0" applyFont="1" applyFill="1" applyBorder="1" applyAlignment="1">
      <alignment vertical="center"/>
    </xf>
    <xf numFmtId="0" fontId="145" fillId="8" borderId="147" xfId="0" applyFont="1" applyFill="1" applyBorder="1" applyAlignment="1">
      <alignment vertical="center" wrapText="1"/>
    </xf>
    <xf numFmtId="0" fontId="1" fillId="0" borderId="10" xfId="0" applyFont="1" applyBorder="1" applyAlignment="1">
      <alignment vertical="center"/>
    </xf>
    <xf numFmtId="0" fontId="10" fillId="8" borderId="0" xfId="0" applyFont="1" applyFill="1" applyBorder="1" applyAlignment="1">
      <alignment horizontal="left" vertical="center"/>
    </xf>
    <xf numFmtId="0" fontId="1" fillId="8" borderId="0" xfId="0" applyFont="1" applyFill="1" applyBorder="1" applyAlignment="1">
      <alignment horizontal="left" vertical="center"/>
    </xf>
    <xf numFmtId="6" fontId="1" fillId="7" borderId="0" xfId="0" applyNumberFormat="1" applyFont="1" applyFill="1" applyBorder="1" applyAlignment="1">
      <alignment horizontal="right" vertical="center" wrapText="1"/>
    </xf>
    <xf numFmtId="6" fontId="1" fillId="7" borderId="0" xfId="0" applyNumberFormat="1" applyFont="1" applyFill="1" applyBorder="1" applyAlignment="1">
      <alignment horizontal="left" vertical="center" wrapText="1"/>
    </xf>
    <xf numFmtId="6" fontId="11" fillId="7" borderId="0" xfId="0" applyNumberFormat="1" applyFont="1" applyFill="1" applyBorder="1" applyAlignment="1">
      <alignment horizontal="right" vertical="center" wrapText="1"/>
    </xf>
    <xf numFmtId="6" fontId="11" fillId="7" borderId="0" xfId="0" applyNumberFormat="1" applyFont="1" applyFill="1" applyBorder="1" applyAlignment="1">
      <alignment horizontal="left" vertical="center" wrapText="1"/>
    </xf>
    <xf numFmtId="0" fontId="69" fillId="0" borderId="0" xfId="0" applyFont="1" applyBorder="1" applyAlignment="1">
      <alignment horizontal="left"/>
    </xf>
    <xf numFmtId="0" fontId="146" fillId="7" borderId="0" xfId="0" applyFont="1" applyFill="1" applyAlignment="1">
      <alignment vertical="center"/>
    </xf>
    <xf numFmtId="167" fontId="1" fillId="8" borderId="0" xfId="3" applyNumberFormat="1" applyFont="1" applyFill="1" applyBorder="1" applyAlignment="1">
      <alignment horizontal="left" vertical="center"/>
    </xf>
    <xf numFmtId="0" fontId="126" fillId="7" borderId="0" xfId="0" applyFont="1" applyFill="1" applyAlignment="1">
      <alignment vertical="center"/>
    </xf>
    <xf numFmtId="0" fontId="26" fillId="7" borderId="0" xfId="2" applyFont="1" applyFill="1" applyBorder="1" applyAlignment="1"/>
    <xf numFmtId="0" fontId="1" fillId="7" borderId="0" xfId="0" applyFont="1" applyFill="1" applyBorder="1" applyAlignment="1"/>
    <xf numFmtId="6" fontId="11" fillId="7" borderId="0" xfId="0" applyNumberFormat="1" applyFont="1" applyFill="1" applyBorder="1" applyAlignment="1">
      <alignment vertical="center" wrapText="1"/>
    </xf>
    <xf numFmtId="6" fontId="1" fillId="7" borderId="0" xfId="0" applyNumberFormat="1" applyFont="1" applyFill="1" applyBorder="1" applyAlignment="1">
      <alignment vertical="center" wrapText="1"/>
    </xf>
    <xf numFmtId="0" fontId="5" fillId="7" borderId="0" xfId="0" applyFont="1" applyFill="1" applyBorder="1" applyAlignment="1"/>
    <xf numFmtId="167" fontId="69" fillId="9" borderId="0" xfId="0" applyNumberFormat="1" applyFont="1" applyFill="1" applyBorder="1" applyAlignment="1" applyProtection="1">
      <alignment vertical="center"/>
      <protection locked="0"/>
    </xf>
    <xf numFmtId="167" fontId="1" fillId="9" borderId="15" xfId="0" applyNumberFormat="1" applyFont="1" applyFill="1" applyBorder="1" applyAlignment="1" applyProtection="1">
      <alignment horizontal="left" vertical="center"/>
      <protection locked="0"/>
    </xf>
    <xf numFmtId="167" fontId="1" fillId="9" borderId="15" xfId="0" applyNumberFormat="1" applyFont="1" applyFill="1" applyBorder="1" applyAlignment="1" applyProtection="1">
      <alignment horizontal="right" vertical="center"/>
      <protection locked="0"/>
    </xf>
    <xf numFmtId="0" fontId="69" fillId="0" borderId="0" xfId="0" applyFont="1" applyBorder="1" applyAlignment="1" applyProtection="1">
      <protection locked="0"/>
    </xf>
    <xf numFmtId="167" fontId="22" fillId="9" borderId="12" xfId="0" applyNumberFormat="1" applyFont="1" applyFill="1" applyBorder="1" applyAlignment="1" applyProtection="1">
      <alignment vertical="center"/>
      <protection locked="0"/>
    </xf>
    <xf numFmtId="9" fontId="22" fillId="9" borderId="12" xfId="1" applyFont="1" applyFill="1" applyBorder="1" applyAlignment="1" applyProtection="1">
      <alignment vertical="center"/>
      <protection locked="0"/>
    </xf>
    <xf numFmtId="0" fontId="132" fillId="0" borderId="0" xfId="0" applyFont="1" applyBorder="1" applyAlignment="1" applyProtection="1">
      <protection locked="0"/>
    </xf>
    <xf numFmtId="0" fontId="112" fillId="0" borderId="55" xfId="0" applyFont="1" applyBorder="1" applyAlignment="1">
      <alignment vertical="center"/>
    </xf>
    <xf numFmtId="0" fontId="0" fillId="8" borderId="0" xfId="0" applyFill="1"/>
    <xf numFmtId="0" fontId="0" fillId="0" borderId="137" xfId="0" applyBorder="1"/>
    <xf numFmtId="0" fontId="0" fillId="0" borderId="147" xfId="0" applyBorder="1"/>
    <xf numFmtId="0" fontId="0" fillId="0" borderId="147" xfId="0" applyBorder="1" applyAlignment="1">
      <alignment horizontal="center"/>
    </xf>
    <xf numFmtId="0" fontId="0" fillId="0" borderId="147" xfId="0" applyBorder="1" applyAlignment="1">
      <alignment horizontal="left"/>
    </xf>
    <xf numFmtId="0" fontId="0" fillId="0" borderId="138" xfId="0" applyBorder="1" applyAlignment="1" applyProtection="1">
      <alignment horizontal="left"/>
    </xf>
    <xf numFmtId="0" fontId="0" fillId="0" borderId="8" xfId="0" applyBorder="1" applyAlignment="1">
      <alignment horizontal="left"/>
    </xf>
    <xf numFmtId="167" fontId="20" fillId="0" borderId="0" xfId="0" applyNumberFormat="1" applyFont="1" applyBorder="1" applyAlignment="1" applyProtection="1">
      <alignment horizontal="left"/>
    </xf>
    <xf numFmtId="167" fontId="20" fillId="0" borderId="60" xfId="0" applyNumberFormat="1" applyFont="1" applyBorder="1" applyAlignment="1" applyProtection="1">
      <alignment horizontal="left"/>
    </xf>
    <xf numFmtId="0" fontId="136" fillId="0" borderId="0" xfId="0" applyFont="1" applyBorder="1" applyAlignment="1" applyProtection="1">
      <alignment horizontal="left"/>
    </xf>
    <xf numFmtId="167" fontId="20" fillId="0" borderId="37" xfId="0" applyNumberFormat="1" applyFont="1" applyBorder="1" applyAlignment="1" applyProtection="1">
      <alignment horizontal="left"/>
    </xf>
    <xf numFmtId="168" fontId="0" fillId="0" borderId="0" xfId="0" applyNumberFormat="1" applyBorder="1" applyAlignment="1" applyProtection="1">
      <alignment horizontal="left"/>
    </xf>
    <xf numFmtId="168" fontId="0" fillId="0" borderId="0" xfId="0" applyNumberFormat="1" applyBorder="1" applyAlignment="1">
      <alignment horizontal="left"/>
    </xf>
    <xf numFmtId="0" fontId="10" fillId="8" borderId="0" xfId="0" applyFont="1" applyFill="1" applyBorder="1" applyAlignment="1">
      <alignment horizontal="left" vertical="center"/>
    </xf>
    <xf numFmtId="0" fontId="1" fillId="8" borderId="0" xfId="0" applyFont="1" applyFill="1" applyBorder="1" applyAlignment="1">
      <alignment horizontal="left" vertical="center"/>
    </xf>
    <xf numFmtId="0" fontId="124" fillId="0" borderId="0" xfId="0" applyFont="1" applyBorder="1" applyAlignment="1">
      <alignment horizontal="left" vertical="center"/>
    </xf>
    <xf numFmtId="0" fontId="1" fillId="8" borderId="0" xfId="0" applyFont="1" applyFill="1" applyBorder="1" applyAlignment="1" applyProtection="1">
      <alignment horizontal="left" vertical="center"/>
      <protection locked="0"/>
    </xf>
    <xf numFmtId="167" fontId="22" fillId="25" borderId="6" xfId="0" applyNumberFormat="1" applyFont="1" applyFill="1" applyBorder="1" applyAlignment="1" applyProtection="1">
      <alignment horizontal="right" vertical="center"/>
      <protection locked="0"/>
    </xf>
    <xf numFmtId="167" fontId="22" fillId="25" borderId="7" xfId="0" applyNumberFormat="1" applyFont="1" applyFill="1" applyBorder="1" applyAlignment="1" applyProtection="1">
      <alignment horizontal="right" vertical="center"/>
      <protection locked="0"/>
    </xf>
    <xf numFmtId="167" fontId="22" fillId="25" borderId="5" xfId="0" applyNumberFormat="1" applyFont="1" applyFill="1" applyBorder="1" applyAlignment="1" applyProtection="1">
      <alignment horizontal="right" vertical="center"/>
      <protection locked="0"/>
    </xf>
    <xf numFmtId="0" fontId="74" fillId="7" borderId="6" xfId="0" applyFont="1" applyFill="1" applyBorder="1"/>
    <xf numFmtId="6" fontId="1" fillId="7" borderId="6" xfId="0" applyNumberFormat="1" applyFont="1" applyFill="1" applyBorder="1" applyAlignment="1">
      <alignment horizontal="right" vertical="center" wrapText="1"/>
    </xf>
    <xf numFmtId="0" fontId="74" fillId="7" borderId="5" xfId="0" applyFont="1" applyFill="1" applyBorder="1"/>
    <xf numFmtId="6" fontId="1" fillId="7" borderId="5" xfId="0" applyNumberFormat="1" applyFont="1" applyFill="1" applyBorder="1" applyAlignment="1">
      <alignment horizontal="right" vertical="center" wrapText="1"/>
    </xf>
    <xf numFmtId="6" fontId="11" fillId="7" borderId="148" xfId="0" applyNumberFormat="1" applyFont="1" applyFill="1" applyBorder="1" applyAlignment="1">
      <alignment horizontal="center"/>
    </xf>
    <xf numFmtId="0" fontId="74" fillId="7" borderId="149" xfId="0" applyFont="1" applyFill="1" applyBorder="1"/>
    <xf numFmtId="6" fontId="1" fillId="7" borderId="149" xfId="0" applyNumberFormat="1" applyFont="1" applyFill="1" applyBorder="1" applyAlignment="1">
      <alignment horizontal="right" vertical="center" wrapText="1"/>
    </xf>
    <xf numFmtId="0" fontId="1" fillId="7" borderId="150" xfId="0" applyFont="1" applyFill="1" applyBorder="1" applyAlignment="1" applyProtection="1">
      <alignment vertical="center"/>
      <protection hidden="1"/>
    </xf>
    <xf numFmtId="6" fontId="11" fillId="7" borderId="150" xfId="0" applyNumberFormat="1" applyFont="1" applyFill="1" applyBorder="1" applyAlignment="1">
      <alignment horizontal="center"/>
    </xf>
    <xf numFmtId="0" fontId="1" fillId="7" borderId="151" xfId="0" applyFont="1" applyFill="1" applyBorder="1" applyAlignment="1">
      <alignment vertical="center"/>
    </xf>
    <xf numFmtId="6" fontId="1" fillId="0" borderId="0" xfId="0" applyNumberFormat="1" applyFont="1" applyAlignment="1">
      <alignment vertical="center"/>
    </xf>
    <xf numFmtId="6" fontId="1" fillId="0" borderId="152" xfId="0" applyNumberFormat="1" applyFont="1" applyBorder="1" applyAlignment="1">
      <alignment vertical="center"/>
    </xf>
    <xf numFmtId="0" fontId="1" fillId="0" borderId="153" xfId="0" applyFont="1" applyBorder="1" applyAlignment="1">
      <alignment vertical="center"/>
    </xf>
    <xf numFmtId="0" fontId="1" fillId="0" borderId="152" xfId="0" applyFont="1" applyBorder="1" applyAlignment="1">
      <alignment vertical="center"/>
    </xf>
    <xf numFmtId="0" fontId="1" fillId="0" borderId="136" xfId="0" applyFont="1" applyBorder="1" applyAlignment="1">
      <alignment vertical="center"/>
    </xf>
    <xf numFmtId="0" fontId="1" fillId="0" borderId="154" xfId="0" applyFont="1" applyBorder="1" applyAlignment="1">
      <alignment vertical="center"/>
    </xf>
    <xf numFmtId="0" fontId="1" fillId="0" borderId="155" xfId="0" applyFont="1" applyBorder="1" applyAlignment="1">
      <alignment vertical="center"/>
    </xf>
    <xf numFmtId="0" fontId="28" fillId="7" borderId="0" xfId="0" applyFont="1" applyFill="1" applyAlignment="1">
      <alignment vertical="center"/>
    </xf>
    <xf numFmtId="1" fontId="22" fillId="5" borderId="4" xfId="0" applyNumberFormat="1" applyFont="1" applyFill="1" applyBorder="1" applyAlignment="1" applyProtection="1">
      <alignment horizontal="center" vertical="center"/>
      <protection locked="0"/>
    </xf>
    <xf numFmtId="167" fontId="22" fillId="5" borderId="4" xfId="0" applyNumberFormat="1" applyFont="1" applyFill="1" applyBorder="1" applyAlignment="1" applyProtection="1">
      <alignment vertical="center"/>
      <protection locked="0"/>
    </xf>
    <xf numFmtId="0" fontId="69" fillId="9" borderId="4" xfId="0" applyFont="1" applyFill="1" applyBorder="1" applyAlignment="1" applyProtection="1">
      <alignment horizontal="center" vertical="center"/>
      <protection locked="0" hidden="1"/>
    </xf>
    <xf numFmtId="0" fontId="0" fillId="0" borderId="0" xfId="0" applyBorder="1" applyAlignment="1" applyProtection="1">
      <alignment horizontal="left" vertical="center"/>
      <protection hidden="1"/>
    </xf>
    <xf numFmtId="0" fontId="148" fillId="0" borderId="0" xfId="0" applyFont="1" applyAlignment="1">
      <alignment horizontal="left" vertical="top"/>
    </xf>
    <xf numFmtId="0" fontId="0" fillId="7" borderId="0" xfId="0" applyFill="1" applyBorder="1" applyAlignment="1" applyProtection="1">
      <alignment vertical="center"/>
    </xf>
    <xf numFmtId="0" fontId="11" fillId="8" borderId="144" xfId="0" applyFont="1" applyFill="1" applyBorder="1" applyAlignment="1" applyProtection="1">
      <alignment vertical="center"/>
    </xf>
    <xf numFmtId="0" fontId="1" fillId="7" borderId="0" xfId="0" applyFont="1" applyFill="1" applyBorder="1" applyProtection="1"/>
    <xf numFmtId="0" fontId="10" fillId="7" borderId="0" xfId="0" applyFont="1" applyFill="1" applyAlignment="1" applyProtection="1">
      <alignment vertical="center"/>
    </xf>
    <xf numFmtId="0" fontId="10" fillId="0" borderId="0" xfId="0" applyFont="1" applyAlignment="1" applyProtection="1">
      <alignment vertical="center"/>
    </xf>
    <xf numFmtId="0" fontId="10" fillId="8" borderId="0" xfId="0" applyFont="1" applyFill="1" applyBorder="1" applyAlignment="1" applyProtection="1">
      <alignment vertical="center"/>
    </xf>
    <xf numFmtId="0" fontId="1" fillId="8" borderId="0" xfId="0" applyFont="1" applyFill="1" applyBorder="1" applyAlignment="1" applyProtection="1">
      <alignment vertical="center"/>
    </xf>
    <xf numFmtId="0" fontId="1" fillId="7" borderId="0" xfId="0" applyFont="1" applyFill="1" applyBorder="1" applyAlignment="1" applyProtection="1">
      <alignment horizontal="center"/>
    </xf>
    <xf numFmtId="14" fontId="1" fillId="7" borderId="0" xfId="0" applyNumberFormat="1" applyFont="1" applyFill="1" applyAlignment="1" applyProtection="1">
      <alignment vertical="center"/>
    </xf>
    <xf numFmtId="0" fontId="1" fillId="7" borderId="0" xfId="0" applyNumberFormat="1" applyFont="1" applyFill="1" applyBorder="1" applyProtection="1"/>
    <xf numFmtId="6" fontId="1" fillId="7" borderId="0" xfId="0" applyNumberFormat="1" applyFont="1" applyFill="1" applyBorder="1" applyProtection="1"/>
    <xf numFmtId="167" fontId="1" fillId="7" borderId="0" xfId="0" applyNumberFormat="1" applyFont="1" applyFill="1" applyBorder="1" applyAlignment="1" applyProtection="1">
      <alignment horizontal="center"/>
    </xf>
    <xf numFmtId="2" fontId="1" fillId="7" borderId="0" xfId="0" applyNumberFormat="1" applyFont="1" applyFill="1" applyAlignment="1" applyProtection="1">
      <alignment vertical="center"/>
    </xf>
    <xf numFmtId="0" fontId="0" fillId="7" borderId="0" xfId="0" applyFill="1" applyBorder="1" applyProtection="1"/>
    <xf numFmtId="0" fontId="5" fillId="7" borderId="0" xfId="0" applyFont="1" applyFill="1" applyBorder="1" applyAlignment="1" applyProtection="1">
      <alignment horizontal="center"/>
    </xf>
    <xf numFmtId="167" fontId="5" fillId="7" borderId="0" xfId="0" applyNumberFormat="1" applyFont="1" applyFill="1" applyBorder="1" applyAlignment="1" applyProtection="1">
      <alignment horizontal="center"/>
    </xf>
    <xf numFmtId="167" fontId="0" fillId="7" borderId="0" xfId="3" applyNumberFormat="1" applyFont="1" applyFill="1" applyBorder="1" applyAlignment="1" applyProtection="1">
      <alignment horizontal="center"/>
    </xf>
    <xf numFmtId="9" fontId="0" fillId="7" borderId="0" xfId="0" applyNumberFormat="1" applyFill="1" applyBorder="1" applyAlignment="1" applyProtection="1">
      <alignment horizontal="center"/>
    </xf>
    <xf numFmtId="10" fontId="0" fillId="7" borderId="0" xfId="1" applyNumberFormat="1" applyFont="1" applyFill="1" applyBorder="1" applyAlignment="1" applyProtection="1">
      <alignment horizontal="center"/>
    </xf>
    <xf numFmtId="0" fontId="1" fillId="7" borderId="0" xfId="0" applyFont="1" applyFill="1" applyBorder="1" applyAlignment="1" applyProtection="1">
      <alignment vertical="center"/>
    </xf>
    <xf numFmtId="0" fontId="126" fillId="7" borderId="0" xfId="0" applyFont="1" applyFill="1" applyAlignment="1" applyProtection="1">
      <alignment vertical="center"/>
    </xf>
    <xf numFmtId="0" fontId="39" fillId="0" borderId="6" xfId="0" applyFont="1" applyFill="1" applyBorder="1" applyAlignment="1" applyProtection="1">
      <alignment vertical="center"/>
      <protection locked="0"/>
    </xf>
    <xf numFmtId="0" fontId="69" fillId="8" borderId="4" xfId="0" applyFont="1" applyFill="1" applyBorder="1" applyAlignment="1" applyProtection="1">
      <alignment horizontal="center" vertical="center"/>
      <protection locked="0" hidden="1"/>
    </xf>
    <xf numFmtId="0" fontId="36" fillId="0" borderId="11" xfId="0" applyFont="1" applyBorder="1" applyAlignment="1">
      <alignment vertical="top"/>
    </xf>
    <xf numFmtId="0" fontId="69" fillId="9" borderId="4" xfId="0" applyFont="1" applyFill="1" applyBorder="1" applyAlignment="1" applyProtection="1">
      <alignment horizontal="center" vertical="center"/>
      <protection locked="0"/>
    </xf>
    <xf numFmtId="0" fontId="61" fillId="8" borderId="144" xfId="0" applyFont="1" applyFill="1" applyBorder="1" applyAlignment="1" applyProtection="1">
      <alignment vertical="center"/>
    </xf>
    <xf numFmtId="6" fontId="1" fillId="8" borderId="0" xfId="0" applyNumberFormat="1" applyFont="1" applyFill="1" applyBorder="1" applyAlignment="1" applyProtection="1">
      <alignment vertical="center"/>
    </xf>
    <xf numFmtId="0" fontId="133" fillId="0" borderId="145" xfId="0" applyFont="1" applyBorder="1" applyAlignment="1" applyProtection="1">
      <alignment vertical="center"/>
    </xf>
    <xf numFmtId="0" fontId="61" fillId="0" borderId="0" xfId="0" applyFont="1" applyBorder="1" applyAlignment="1" applyProtection="1"/>
    <xf numFmtId="0" fontId="1" fillId="8" borderId="0" xfId="0" applyFont="1" applyFill="1" applyBorder="1" applyAlignment="1" applyProtection="1">
      <alignment horizontal="left" vertical="center"/>
      <protection locked="0"/>
    </xf>
    <xf numFmtId="0" fontId="11" fillId="7" borderId="0" xfId="0" applyFont="1" applyFill="1" applyAlignment="1" applyProtection="1">
      <alignment vertical="center"/>
      <protection hidden="1"/>
    </xf>
    <xf numFmtId="0" fontId="124" fillId="0" borderId="0" xfId="0" applyFont="1" applyBorder="1" applyAlignment="1">
      <alignment horizontal="left" vertical="center"/>
    </xf>
    <xf numFmtId="0" fontId="91" fillId="0" borderId="0" xfId="0" applyFont="1" applyAlignment="1">
      <alignment horizontal="left" vertical="center"/>
    </xf>
    <xf numFmtId="0" fontId="91" fillId="0" borderId="0" xfId="0" applyFont="1" applyBorder="1" applyAlignment="1">
      <alignment horizontal="left" vertical="center"/>
    </xf>
    <xf numFmtId="0" fontId="0" fillId="0" borderId="10"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42" fillId="2" borderId="146" xfId="0" applyFont="1" applyFill="1" applyBorder="1" applyAlignment="1" applyProtection="1">
      <alignment vertical="center"/>
    </xf>
    <xf numFmtId="0" fontId="95" fillId="0" borderId="0" xfId="0" applyFont="1" applyAlignment="1">
      <alignment vertical="center"/>
    </xf>
    <xf numFmtId="0" fontId="95" fillId="0" borderId="0" xfId="0" applyFont="1" applyBorder="1" applyAlignment="1">
      <alignment vertical="center"/>
    </xf>
    <xf numFmtId="0" fontId="140" fillId="0" borderId="0" xfId="0" applyFont="1" applyBorder="1" applyAlignment="1">
      <alignment horizontal="left" vertical="center"/>
    </xf>
    <xf numFmtId="0" fontId="154" fillId="0" borderId="0" xfId="0" applyFont="1" applyAlignment="1">
      <alignment vertical="center"/>
    </xf>
    <xf numFmtId="0" fontId="11" fillId="7" borderId="0" xfId="0" applyFont="1" applyFill="1" applyAlignment="1" applyProtection="1">
      <alignment vertical="center"/>
      <protection hidden="1"/>
    </xf>
    <xf numFmtId="0" fontId="1" fillId="8" borderId="0" xfId="0" applyFont="1" applyFill="1" applyBorder="1" applyAlignment="1">
      <alignment horizontal="left" vertical="center"/>
    </xf>
    <xf numFmtId="0" fontId="15" fillId="7" borderId="0" xfId="2" applyFill="1" applyAlignment="1" applyProtection="1">
      <alignment vertical="center"/>
      <protection hidden="1"/>
    </xf>
    <xf numFmtId="0" fontId="11" fillId="7" borderId="0" xfId="0" applyFont="1" applyFill="1" applyAlignment="1" applyProtection="1">
      <alignment vertical="center"/>
      <protection hidden="1"/>
    </xf>
    <xf numFmtId="0" fontId="100" fillId="7" borderId="0" xfId="0" applyFont="1" applyFill="1" applyAlignment="1">
      <alignment horizontal="left" vertical="center"/>
    </xf>
    <xf numFmtId="0" fontId="0" fillId="7" borderId="0" xfId="0" applyFill="1" applyAlignment="1">
      <alignment horizontal="right"/>
    </xf>
    <xf numFmtId="0" fontId="155" fillId="0" borderId="0" xfId="0" applyFont="1" applyAlignment="1">
      <alignment vertical="center"/>
    </xf>
    <xf numFmtId="0" fontId="155" fillId="0" borderId="0" xfId="0" applyFont="1" applyBorder="1" applyAlignment="1">
      <alignment vertical="center"/>
    </xf>
    <xf numFmtId="0" fontId="155" fillId="0" borderId="0" xfId="0" applyFont="1" applyAlignment="1" applyProtection="1">
      <alignment horizontal="left" vertical="center"/>
      <protection locked="0" hidden="1"/>
    </xf>
    <xf numFmtId="0" fontId="155" fillId="7" borderId="0" xfId="0" applyFont="1" applyFill="1" applyAlignment="1">
      <alignment vertical="center"/>
    </xf>
    <xf numFmtId="0" fontId="155" fillId="7" borderId="0" xfId="0" applyFont="1" applyFill="1" applyAlignment="1" applyProtection="1">
      <alignment vertical="center"/>
      <protection hidden="1"/>
    </xf>
    <xf numFmtId="0" fontId="155" fillId="0" borderId="0" xfId="0" applyFont="1" applyAlignment="1" applyProtection="1">
      <alignment horizontal="left" vertical="center"/>
      <protection hidden="1"/>
    </xf>
    <xf numFmtId="167" fontId="91" fillId="7" borderId="0" xfId="0" quotePrefix="1" applyNumberFormat="1" applyFont="1" applyFill="1" applyBorder="1" applyAlignment="1">
      <alignment horizontal="right" vertical="center"/>
    </xf>
    <xf numFmtId="167" fontId="91" fillId="7" borderId="0" xfId="0" applyNumberFormat="1" applyFont="1" applyFill="1" applyBorder="1" applyAlignment="1">
      <alignment vertical="center"/>
    </xf>
    <xf numFmtId="0" fontId="74" fillId="8" borderId="0" xfId="0" applyFont="1" applyFill="1" applyBorder="1" applyAlignment="1" applyProtection="1">
      <alignment vertical="center"/>
      <protection locked="0"/>
    </xf>
    <xf numFmtId="164" fontId="11" fillId="8" borderId="0" xfId="0" applyNumberFormat="1" applyFont="1" applyFill="1" applyBorder="1" applyAlignment="1" applyProtection="1">
      <alignment vertical="center"/>
      <protection locked="0"/>
    </xf>
    <xf numFmtId="0" fontId="11" fillId="8" borderId="0" xfId="0" applyFont="1" applyFill="1" applyBorder="1" applyAlignment="1" applyProtection="1">
      <alignment vertical="center"/>
      <protection locked="0"/>
    </xf>
    <xf numFmtId="6" fontId="1" fillId="7" borderId="0" xfId="0" applyNumberFormat="1" applyFont="1" applyFill="1" applyBorder="1" applyAlignment="1">
      <alignment horizontal="right" vertical="center" wrapText="1"/>
    </xf>
    <xf numFmtId="6" fontId="1" fillId="7" borderId="0" xfId="0" applyNumberFormat="1" applyFont="1" applyFill="1" applyBorder="1" applyAlignment="1">
      <alignment horizontal="left" vertical="center" wrapText="1"/>
    </xf>
    <xf numFmtId="167" fontId="156" fillId="8" borderId="0" xfId="3" applyNumberFormat="1" applyFont="1" applyFill="1" applyBorder="1" applyAlignment="1">
      <alignment vertical="center"/>
    </xf>
    <xf numFmtId="0" fontId="6" fillId="2" borderId="0" xfId="0" applyFont="1" applyFill="1" applyBorder="1" applyAlignment="1" applyProtection="1">
      <alignment horizontal="center" vertical="top"/>
      <protection locked="0"/>
    </xf>
    <xf numFmtId="0" fontId="46" fillId="2" borderId="0" xfId="0" applyFont="1" applyFill="1" applyBorder="1" applyAlignment="1" applyProtection="1">
      <alignment horizontal="left" vertical="top" wrapText="1"/>
      <protection locked="0"/>
    </xf>
    <xf numFmtId="0" fontId="0" fillId="7" borderId="0" xfId="0" applyFont="1" applyFill="1" applyAlignment="1">
      <alignment vertical="top"/>
    </xf>
    <xf numFmtId="0" fontId="0" fillId="7" borderId="0" xfId="0" applyFont="1" applyFill="1" applyBorder="1" applyAlignment="1">
      <alignment vertical="top"/>
    </xf>
    <xf numFmtId="0" fontId="0" fillId="7" borderId="0" xfId="0" applyFont="1" applyFill="1" applyBorder="1" applyAlignment="1" applyProtection="1">
      <alignment vertical="top"/>
      <protection hidden="1"/>
    </xf>
    <xf numFmtId="0" fontId="22" fillId="0" borderId="0" xfId="0" applyFont="1" applyAlignment="1">
      <alignment vertical="top"/>
    </xf>
    <xf numFmtId="0" fontId="22" fillId="7" borderId="0" xfId="0" applyFont="1" applyFill="1" applyAlignment="1">
      <alignment vertical="top"/>
    </xf>
    <xf numFmtId="0" fontId="22" fillId="7" borderId="0" xfId="0" applyFont="1" applyFill="1" applyBorder="1" applyAlignment="1">
      <alignment vertical="top"/>
    </xf>
    <xf numFmtId="0" fontId="22" fillId="0" borderId="0" xfId="0" applyFont="1" applyBorder="1" applyAlignment="1">
      <alignment horizontal="left" vertical="center"/>
    </xf>
    <xf numFmtId="0" fontId="22" fillId="7" borderId="0" xfId="0" applyFont="1" applyFill="1" applyBorder="1" applyAlignment="1">
      <alignment horizontal="left" vertical="center"/>
    </xf>
    <xf numFmtId="0" fontId="2" fillId="7" borderId="0" xfId="0" applyFont="1" applyFill="1" applyBorder="1" applyAlignment="1">
      <alignment horizontal="left" vertical="center"/>
    </xf>
    <xf numFmtId="167" fontId="0" fillId="7" borderId="0" xfId="3" applyNumberFormat="1" applyFont="1" applyFill="1" applyBorder="1" applyAlignment="1">
      <alignment horizontal="center" vertical="center"/>
    </xf>
    <xf numFmtId="9" fontId="0" fillId="7" borderId="0" xfId="0" applyNumberFormat="1" applyFont="1" applyFill="1" applyBorder="1" applyAlignment="1">
      <alignment horizontal="center" vertical="center"/>
    </xf>
    <xf numFmtId="167" fontId="5" fillId="7" borderId="0" xfId="0" applyNumberFormat="1" applyFont="1" applyFill="1" applyBorder="1" applyAlignment="1">
      <alignment horizontal="center" vertical="center"/>
    </xf>
    <xf numFmtId="0" fontId="46" fillId="0" borderId="0" xfId="0" applyFont="1" applyBorder="1" applyAlignment="1">
      <alignment horizontal="left" vertical="center"/>
    </xf>
    <xf numFmtId="0" fontId="46" fillId="7" borderId="0" xfId="0" applyFont="1" applyFill="1" applyBorder="1" applyAlignment="1">
      <alignment horizontal="left" vertical="center"/>
    </xf>
    <xf numFmtId="0" fontId="5" fillId="7" borderId="0" xfId="0" applyFont="1" applyFill="1" applyAlignment="1">
      <alignment vertical="center"/>
    </xf>
    <xf numFmtId="0" fontId="25" fillId="7" borderId="0" xfId="0" applyFont="1" applyFill="1" applyBorder="1" applyAlignment="1">
      <alignment horizontal="left" vertical="center"/>
    </xf>
    <xf numFmtId="0" fontId="10" fillId="7" borderId="0" xfId="0" applyFont="1" applyFill="1" applyBorder="1" applyAlignment="1">
      <alignment vertical="center"/>
    </xf>
    <xf numFmtId="6" fontId="10" fillId="7" borderId="0" xfId="0" applyNumberFormat="1" applyFont="1" applyFill="1" applyBorder="1" applyAlignment="1">
      <alignment horizontal="right" vertical="center" wrapText="1"/>
    </xf>
    <xf numFmtId="6" fontId="10" fillId="7" borderId="0" xfId="0" applyNumberFormat="1" applyFont="1" applyFill="1" applyBorder="1" applyAlignment="1">
      <alignment horizontal="left" vertical="center" wrapText="1"/>
    </xf>
    <xf numFmtId="0" fontId="5" fillId="7" borderId="0" xfId="0" applyFont="1" applyFill="1" applyBorder="1" applyAlignment="1">
      <alignment vertical="center"/>
    </xf>
    <xf numFmtId="0" fontId="5" fillId="7" borderId="0" xfId="0" applyNumberFormat="1" applyFont="1" applyFill="1" applyBorder="1" applyAlignment="1">
      <alignment vertical="center"/>
    </xf>
    <xf numFmtId="6" fontId="5" fillId="7" borderId="0" xfId="0" applyNumberFormat="1" applyFont="1" applyFill="1" applyBorder="1" applyAlignment="1">
      <alignment vertical="center"/>
    </xf>
    <xf numFmtId="0" fontId="5" fillId="7" borderId="0" xfId="0" applyFont="1" applyFill="1" applyBorder="1" applyAlignment="1">
      <alignment horizontal="center" vertical="center"/>
    </xf>
    <xf numFmtId="10" fontId="0" fillId="7" borderId="0" xfId="1" applyNumberFormat="1" applyFont="1" applyFill="1" applyBorder="1" applyAlignment="1">
      <alignment horizontal="center" vertical="center"/>
    </xf>
    <xf numFmtId="0" fontId="46" fillId="7" borderId="0" xfId="0" applyFont="1" applyFill="1" applyBorder="1" applyAlignment="1"/>
    <xf numFmtId="0" fontId="0" fillId="7" borderId="0" xfId="0" applyFont="1" applyFill="1" applyAlignment="1"/>
    <xf numFmtId="0" fontId="0" fillId="7" borderId="0" xfId="0" applyFont="1" applyFill="1" applyBorder="1" applyAlignment="1"/>
    <xf numFmtId="0" fontId="1" fillId="7" borderId="0" xfId="0" applyFont="1" applyFill="1" applyAlignment="1"/>
    <xf numFmtId="0" fontId="1" fillId="0" borderId="0" xfId="0" applyFont="1" applyAlignment="1"/>
    <xf numFmtId="0" fontId="11" fillId="7" borderId="0" xfId="0" applyFont="1" applyFill="1" applyAlignment="1" applyProtection="1">
      <alignment vertical="center"/>
      <protection hidden="1"/>
    </xf>
    <xf numFmtId="0" fontId="1" fillId="8" borderId="0" xfId="0" applyFont="1" applyFill="1" applyBorder="1" applyAlignment="1">
      <alignment horizontal="left" vertical="center"/>
    </xf>
    <xf numFmtId="0" fontId="0" fillId="0" borderId="0" xfId="0" applyAlignment="1" applyProtection="1">
      <alignment horizontal="left" vertical="center"/>
      <protection locked="0"/>
    </xf>
    <xf numFmtId="6" fontId="1" fillId="7" borderId="0" xfId="0" applyNumberFormat="1" applyFont="1" applyFill="1" applyBorder="1" applyAlignment="1" applyProtection="1">
      <alignment vertical="center" wrapText="1"/>
    </xf>
    <xf numFmtId="1" fontId="1" fillId="7" borderId="137" xfId="0" applyNumberFormat="1" applyFont="1" applyFill="1" applyBorder="1" applyAlignment="1" applyProtection="1">
      <alignment horizontal="center" vertical="center" wrapText="1"/>
    </xf>
    <xf numFmtId="1" fontId="1" fillId="7" borderId="138" xfId="0" applyNumberFormat="1" applyFont="1" applyFill="1" applyBorder="1" applyAlignment="1" applyProtection="1">
      <alignment horizontal="center" vertical="center" wrapText="1"/>
    </xf>
    <xf numFmtId="0" fontId="0" fillId="7" borderId="38" xfId="0" applyFill="1" applyBorder="1" applyAlignment="1" applyProtection="1">
      <alignment horizontal="center"/>
    </xf>
    <xf numFmtId="0" fontId="0" fillId="7" borderId="40" xfId="0" applyFill="1" applyBorder="1" applyAlignment="1" applyProtection="1">
      <alignment horizontal="center"/>
    </xf>
    <xf numFmtId="0" fontId="54" fillId="7" borderId="0" xfId="0" applyFont="1" applyFill="1" applyAlignment="1">
      <alignment horizontal="left" vertical="center"/>
    </xf>
    <xf numFmtId="0" fontId="160" fillId="0" borderId="0" xfId="0" applyFont="1" applyBorder="1" applyAlignment="1" applyProtection="1">
      <alignment horizontal="left" vertical="center" wrapText="1"/>
    </xf>
    <xf numFmtId="6" fontId="1" fillId="7" borderId="0" xfId="0" applyNumberFormat="1" applyFont="1" applyFill="1" applyBorder="1" applyAlignment="1" applyProtection="1">
      <alignment horizontal="left" vertical="center" wrapText="1"/>
    </xf>
    <xf numFmtId="0" fontId="129" fillId="0" borderId="0" xfId="0" applyFont="1" applyFill="1" applyBorder="1" applyAlignment="1" applyProtection="1">
      <alignment horizontal="center"/>
    </xf>
    <xf numFmtId="0" fontId="1" fillId="0" borderId="0" xfId="0" applyFont="1" applyAlignment="1" applyProtection="1">
      <alignment vertical="center"/>
      <protection locked="0"/>
    </xf>
    <xf numFmtId="0" fontId="36" fillId="0" borderId="0" xfId="0" applyFont="1" applyBorder="1" applyAlignment="1" applyProtection="1">
      <alignment horizontal="center" vertical="center"/>
      <protection locked="0"/>
    </xf>
    <xf numFmtId="0" fontId="36" fillId="0" borderId="0" xfId="0" applyFont="1" applyFill="1" applyAlignment="1" applyProtection="1">
      <alignment vertical="center"/>
      <protection locked="0" hidden="1"/>
    </xf>
    <xf numFmtId="0" fontId="36" fillId="0" borderId="0" xfId="0" applyFont="1" applyFill="1" applyBorder="1" applyAlignment="1" applyProtection="1">
      <alignment vertical="center"/>
      <protection locked="0" hidden="1"/>
    </xf>
    <xf numFmtId="0" fontId="29" fillId="0" borderId="0" xfId="0" applyFont="1" applyBorder="1" applyAlignment="1" applyProtection="1">
      <alignment horizontal="left" vertical="top" wrapText="1"/>
      <protection locked="0"/>
    </xf>
    <xf numFmtId="0" fontId="0" fillId="0" borderId="0" xfId="0" applyFill="1" applyAlignment="1" applyProtection="1">
      <alignment vertical="center"/>
      <protection locked="0" hidden="1"/>
    </xf>
    <xf numFmtId="0" fontId="1" fillId="0" borderId="7" xfId="0" applyFont="1" applyFill="1" applyBorder="1" applyAlignment="1" applyProtection="1">
      <alignment vertical="center" wrapText="1"/>
      <protection locked="0"/>
    </xf>
    <xf numFmtId="0" fontId="120" fillId="0" borderId="6" xfId="0" applyFont="1" applyFill="1" applyBorder="1" applyAlignment="1" applyProtection="1">
      <alignment vertical="center" wrapText="1"/>
    </xf>
    <xf numFmtId="0" fontId="120" fillId="0" borderId="7" xfId="0" applyFont="1" applyFill="1" applyBorder="1" applyAlignment="1" applyProtection="1">
      <alignment vertical="center" wrapText="1"/>
    </xf>
    <xf numFmtId="0" fontId="144" fillId="0" borderId="0" xfId="0" applyFont="1" applyAlignment="1" applyProtection="1">
      <alignment vertical="center"/>
    </xf>
    <xf numFmtId="0" fontId="161" fillId="0" borderId="12" xfId="0" applyFont="1" applyFill="1" applyBorder="1" applyAlignment="1" applyProtection="1">
      <alignment horizontal="center" vertical="center"/>
      <protection locked="0"/>
    </xf>
    <xf numFmtId="0" fontId="26" fillId="7" borderId="0" xfId="2" applyFont="1" applyFill="1" applyBorder="1" applyAlignment="1" applyProtection="1"/>
    <xf numFmtId="0" fontId="149" fillId="0" borderId="0" xfId="2" applyFont="1" applyBorder="1" applyAlignment="1" applyProtection="1">
      <alignment vertical="center"/>
    </xf>
    <xf numFmtId="0" fontId="10" fillId="7" borderId="0" xfId="0" applyFont="1" applyFill="1" applyBorder="1" applyAlignment="1" applyProtection="1">
      <alignment vertical="center"/>
    </xf>
    <xf numFmtId="167" fontId="1" fillId="7" borderId="0" xfId="0" applyNumberFormat="1" applyFont="1" applyFill="1" applyBorder="1" applyAlignment="1" applyProtection="1">
      <alignment vertical="center"/>
    </xf>
    <xf numFmtId="0" fontId="1" fillId="7" borderId="36" xfId="0" applyFont="1" applyFill="1" applyBorder="1" applyAlignment="1" applyProtection="1">
      <alignment vertical="center"/>
    </xf>
    <xf numFmtId="6" fontId="1" fillId="7" borderId="36" xfId="0" applyNumberFormat="1" applyFont="1" applyFill="1" applyBorder="1" applyAlignment="1" applyProtection="1">
      <alignment vertical="center"/>
    </xf>
    <xf numFmtId="0" fontId="10" fillId="7" borderId="36" xfId="0" applyFont="1" applyFill="1" applyBorder="1" applyAlignment="1" applyProtection="1">
      <alignment vertical="center"/>
    </xf>
    <xf numFmtId="6" fontId="10" fillId="7" borderId="36" xfId="0" applyNumberFormat="1" applyFont="1" applyFill="1" applyBorder="1" applyAlignment="1" applyProtection="1">
      <alignment vertical="center"/>
    </xf>
    <xf numFmtId="167" fontId="1" fillId="7" borderId="159" xfId="0" applyNumberFormat="1" applyFont="1" applyFill="1" applyBorder="1" applyAlignment="1" applyProtection="1">
      <alignment vertical="center"/>
    </xf>
    <xf numFmtId="0" fontId="1" fillId="0" borderId="7" xfId="0" applyFont="1" applyFill="1" applyBorder="1" applyAlignment="1" applyProtection="1">
      <alignment vertical="center" wrapText="1"/>
    </xf>
    <xf numFmtId="167" fontId="1" fillId="0" borderId="0" xfId="0" applyNumberFormat="1" applyFont="1" applyFill="1" applyBorder="1" applyAlignment="1" applyProtection="1">
      <alignment vertical="center"/>
    </xf>
    <xf numFmtId="0" fontId="120" fillId="0" borderId="7" xfId="0" applyFont="1" applyFill="1" applyBorder="1" applyAlignment="1" applyProtection="1">
      <alignment vertical="center" wrapText="1"/>
      <protection locked="0"/>
    </xf>
    <xf numFmtId="0" fontId="144" fillId="0" borderId="0" xfId="0" applyFont="1" applyFill="1" applyAlignment="1" applyProtection="1">
      <alignment vertical="center"/>
      <protection locked="0"/>
    </xf>
    <xf numFmtId="0" fontId="144" fillId="0" borderId="0" xfId="0" applyFont="1" applyAlignment="1" applyProtection="1">
      <alignment vertical="center"/>
      <protection locked="0"/>
    </xf>
    <xf numFmtId="0" fontId="0" fillId="0" borderId="0" xfId="0" applyAlignment="1" applyProtection="1">
      <alignment vertical="center" wrapText="1"/>
      <protection locked="0"/>
    </xf>
    <xf numFmtId="0" fontId="22" fillId="9" borderId="4" xfId="0" applyFont="1" applyFill="1" applyBorder="1" applyAlignment="1" applyProtection="1">
      <alignment horizontal="center" vertical="center"/>
      <protection locked="0"/>
    </xf>
    <xf numFmtId="0" fontId="1" fillId="0" borderId="8" xfId="0" applyFont="1" applyBorder="1" applyAlignment="1">
      <alignment horizontal="left" vertical="center" wrapText="1"/>
    </xf>
    <xf numFmtId="0" fontId="1" fillId="0" borderId="0" xfId="0" applyFont="1" applyBorder="1" applyAlignment="1" applyProtection="1">
      <alignment horizontal="center" vertical="top"/>
      <protection locked="0" hidden="1"/>
    </xf>
    <xf numFmtId="0" fontId="36" fillId="0" borderId="0" xfId="0" applyFont="1" applyBorder="1" applyAlignment="1" applyProtection="1">
      <alignment vertical="top"/>
      <protection locked="0"/>
    </xf>
    <xf numFmtId="0" fontId="36" fillId="0" borderId="10" xfId="0" applyFont="1" applyBorder="1" applyAlignment="1" applyProtection="1">
      <alignment vertical="top"/>
      <protection locked="0"/>
    </xf>
    <xf numFmtId="0" fontId="36" fillId="0" borderId="10" xfId="0" applyFont="1" applyBorder="1" applyAlignment="1">
      <alignment horizontal="left" vertical="top"/>
    </xf>
    <xf numFmtId="0" fontId="36" fillId="0" borderId="13" xfId="0" applyFont="1" applyBorder="1" applyAlignment="1" applyProtection="1">
      <alignment vertical="top"/>
      <protection locked="0"/>
    </xf>
    <xf numFmtId="0" fontId="1" fillId="0" borderId="12" xfId="0" applyFont="1" applyBorder="1" applyAlignment="1" applyProtection="1">
      <alignment horizontal="left" vertical="center" wrapText="1"/>
      <protection locked="0"/>
    </xf>
    <xf numFmtId="0" fontId="11" fillId="7" borderId="0" xfId="0" applyFont="1" applyFill="1" applyAlignment="1" applyProtection="1">
      <alignment vertical="center"/>
      <protection hidden="1"/>
    </xf>
    <xf numFmtId="0" fontId="138" fillId="7" borderId="0" xfId="0" applyFont="1" applyFill="1" applyAlignment="1">
      <alignment horizontal="center"/>
    </xf>
    <xf numFmtId="14" fontId="36" fillId="7" borderId="0" xfId="0" applyNumberFormat="1" applyFont="1" applyFill="1" applyAlignment="1">
      <alignment horizontal="center" vertical="top"/>
    </xf>
    <xf numFmtId="0" fontId="144" fillId="8" borderId="5" xfId="0" applyFont="1" applyFill="1" applyBorder="1" applyAlignment="1" applyProtection="1">
      <alignment vertical="center"/>
    </xf>
    <xf numFmtId="0" fontId="1" fillId="0" borderId="0" xfId="0" applyFont="1" applyAlignment="1" applyProtection="1">
      <alignment horizontal="center" vertical="center"/>
      <protection hidden="1"/>
    </xf>
    <xf numFmtId="0" fontId="166" fillId="7" borderId="0" xfId="0" applyFont="1" applyFill="1" applyAlignment="1" applyProtection="1">
      <alignment horizontal="left" vertical="top"/>
      <protection hidden="1"/>
    </xf>
    <xf numFmtId="10" fontId="28" fillId="0" borderId="15" xfId="1" applyNumberFormat="1" applyFont="1" applyFill="1" applyBorder="1" applyAlignment="1" applyProtection="1">
      <protection hidden="1"/>
    </xf>
    <xf numFmtId="0" fontId="93" fillId="0" borderId="93" xfId="0" applyFont="1" applyFill="1" applyBorder="1" applyAlignment="1" applyProtection="1">
      <alignment horizontal="left" vertical="top"/>
      <protection locked="0"/>
    </xf>
    <xf numFmtId="0" fontId="93" fillId="0" borderId="93" xfId="0" applyFont="1" applyBorder="1" applyAlignment="1" applyProtection="1">
      <alignment horizontal="left" vertical="top"/>
      <protection locked="0"/>
    </xf>
    <xf numFmtId="0" fontId="23" fillId="0" borderId="0" xfId="0" applyNumberFormat="1" applyFont="1" applyFill="1" applyBorder="1" applyAlignment="1" applyProtection="1">
      <alignment horizontal="left" vertical="top" wrapText="1"/>
      <protection locked="0"/>
    </xf>
    <xf numFmtId="0" fontId="46" fillId="0" borderId="0" xfId="0" applyNumberFormat="1" applyFont="1" applyFill="1" applyAlignment="1" applyProtection="1">
      <alignment horizontal="left" vertical="top" wrapText="1"/>
      <protection locked="0"/>
    </xf>
    <xf numFmtId="0" fontId="117" fillId="0" borderId="0" xfId="0" applyNumberFormat="1" applyFont="1" applyBorder="1" applyAlignment="1" applyProtection="1">
      <alignment horizontal="left" vertical="top" wrapText="1"/>
      <protection locked="0"/>
    </xf>
    <xf numFmtId="0" fontId="22" fillId="0" borderId="0" xfId="0" applyNumberFormat="1" applyFont="1" applyAlignment="1" applyProtection="1">
      <alignment horizontal="left" vertical="top" wrapText="1"/>
      <protection locked="0"/>
    </xf>
    <xf numFmtId="6" fontId="22" fillId="0" borderId="0" xfId="0" applyNumberFormat="1" applyFont="1" applyAlignment="1" applyProtection="1">
      <alignment horizontal="left" vertical="top" wrapText="1"/>
      <protection locked="0"/>
    </xf>
    <xf numFmtId="10" fontId="22" fillId="0" borderId="0" xfId="1" applyNumberFormat="1" applyFont="1" applyAlignment="1" applyProtection="1">
      <alignment horizontal="left" vertical="top" wrapText="1"/>
      <protection locked="0"/>
    </xf>
    <xf numFmtId="0" fontId="23" fillId="0" borderId="6" xfId="0" applyNumberFormat="1" applyFont="1" applyFill="1" applyBorder="1" applyAlignment="1" applyProtection="1">
      <alignment horizontal="left" vertical="center" wrapText="1"/>
      <protection locked="0"/>
    </xf>
    <xf numFmtId="10" fontId="46" fillId="0" borderId="7" xfId="1" applyNumberFormat="1" applyFont="1" applyFill="1" applyBorder="1" applyAlignment="1" applyProtection="1">
      <alignment horizontal="left" vertical="center" wrapText="1"/>
      <protection locked="0"/>
    </xf>
    <xf numFmtId="10" fontId="46" fillId="0" borderId="5" xfId="1" applyNumberFormat="1" applyFont="1" applyFill="1" applyBorder="1" applyAlignment="1" applyProtection="1">
      <alignment horizontal="left" vertical="center" wrapText="1"/>
      <protection locked="0"/>
    </xf>
    <xf numFmtId="0" fontId="117" fillId="0" borderId="0" xfId="0" applyNumberFormat="1" applyFont="1" applyBorder="1" applyAlignment="1" applyProtection="1">
      <alignment horizontal="left" vertical="center" wrapText="1"/>
      <protection locked="0"/>
    </xf>
    <xf numFmtId="1" fontId="22" fillId="0" borderId="0" xfId="0" applyNumberFormat="1" applyFont="1" applyAlignment="1" applyProtection="1">
      <alignment horizontal="left" vertical="center" wrapText="1"/>
      <protection locked="0"/>
    </xf>
    <xf numFmtId="6" fontId="46" fillId="0" borderId="7" xfId="0" applyNumberFormat="1" applyFont="1" applyBorder="1" applyAlignment="1" applyProtection="1">
      <alignment horizontal="left" vertical="center" wrapText="1"/>
      <protection locked="0"/>
    </xf>
    <xf numFmtId="6" fontId="46" fillId="0" borderId="5" xfId="0" applyNumberFormat="1" applyFont="1" applyBorder="1" applyAlignment="1" applyProtection="1">
      <alignment horizontal="left" vertical="center" wrapText="1"/>
      <protection locked="0"/>
    </xf>
    <xf numFmtId="10" fontId="22" fillId="0" borderId="0" xfId="0" applyNumberFormat="1" applyFont="1" applyAlignment="1" applyProtection="1">
      <alignment horizontal="left" vertical="top" wrapText="1"/>
      <protection locked="0"/>
    </xf>
    <xf numFmtId="9" fontId="22" fillId="0" borderId="0" xfId="0" applyNumberFormat="1" applyFont="1" applyAlignment="1" applyProtection="1">
      <alignment horizontal="left" vertical="top" wrapText="1"/>
      <protection locked="0"/>
    </xf>
    <xf numFmtId="0" fontId="72" fillId="0" borderId="0" xfId="0" applyFont="1" applyAlignment="1" applyProtection="1">
      <alignment vertical="top"/>
      <protection locked="0"/>
    </xf>
    <xf numFmtId="0" fontId="22" fillId="0" borderId="0" xfId="0" applyFont="1" applyAlignment="1" applyProtection="1">
      <alignment horizontal="left" vertical="top" wrapText="1"/>
      <protection locked="0"/>
    </xf>
    <xf numFmtId="0" fontId="22" fillId="0" borderId="0" xfId="0" applyFont="1" applyAlignment="1" applyProtection="1">
      <alignment horizontal="left" vertical="top"/>
      <protection locked="0"/>
    </xf>
    <xf numFmtId="0" fontId="0" fillId="0" borderId="0" xfId="0" applyFont="1" applyAlignment="1" applyProtection="1">
      <alignment vertical="top"/>
      <protection locked="0"/>
    </xf>
    <xf numFmtId="0" fontId="56" fillId="0" borderId="0" xfId="0" applyFont="1" applyAlignment="1" applyProtection="1">
      <alignment vertical="center"/>
      <protection locked="0"/>
    </xf>
    <xf numFmtId="0" fontId="69" fillId="2" borderId="0" xfId="0" applyFont="1" applyFill="1" applyBorder="1" applyAlignment="1">
      <alignment vertical="center"/>
    </xf>
    <xf numFmtId="167" fontId="11" fillId="8" borderId="0" xfId="3" applyNumberFormat="1" applyFont="1" applyFill="1" applyBorder="1" applyAlignment="1">
      <alignment horizontal="left" vertical="center"/>
    </xf>
    <xf numFmtId="0" fontId="36" fillId="0" borderId="0" xfId="0" applyFont="1" applyAlignment="1">
      <alignment horizontal="left" vertical="top"/>
    </xf>
    <xf numFmtId="9" fontId="1" fillId="0" borderId="0" xfId="1" applyFont="1" applyAlignment="1" applyProtection="1">
      <alignment vertical="center"/>
      <protection locked="0"/>
    </xf>
    <xf numFmtId="10" fontId="28" fillId="0" borderId="0" xfId="1" applyNumberFormat="1" applyFont="1" applyFill="1" applyBorder="1" applyAlignment="1" applyProtection="1">
      <protection hidden="1"/>
    </xf>
    <xf numFmtId="6" fontId="111" fillId="0" borderId="0" xfId="0" applyNumberFormat="1" applyFont="1" applyFill="1" applyBorder="1" applyAlignment="1" applyProtection="1">
      <alignment vertical="center"/>
      <protection locked="0"/>
    </xf>
    <xf numFmtId="0" fontId="11" fillId="7" borderId="0" xfId="0" applyFont="1" applyFill="1" applyAlignment="1" applyProtection="1">
      <alignment vertical="center"/>
      <protection hidden="1"/>
    </xf>
    <xf numFmtId="0" fontId="114" fillId="2" borderId="0" xfId="0" applyFont="1" applyFill="1" applyBorder="1" applyAlignment="1">
      <alignment vertical="center"/>
    </xf>
    <xf numFmtId="0" fontId="69" fillId="2" borderId="0" xfId="0" applyFont="1" applyFill="1" applyBorder="1" applyAlignment="1">
      <alignment horizontal="left" vertical="center"/>
    </xf>
    <xf numFmtId="0" fontId="54" fillId="7" borderId="0" xfId="0" applyFont="1" applyFill="1" applyAlignment="1">
      <alignment vertical="center"/>
    </xf>
    <xf numFmtId="0" fontId="1" fillId="0" borderId="0" xfId="0" applyFont="1" applyBorder="1" applyAlignment="1" applyProtection="1">
      <alignment vertical="center"/>
      <protection locked="0"/>
    </xf>
    <xf numFmtId="0" fontId="109" fillId="2" borderId="0" xfId="0" applyFont="1" applyFill="1" applyBorder="1" applyAlignment="1" applyProtection="1">
      <alignment vertical="center" wrapText="1"/>
      <protection locked="0"/>
    </xf>
    <xf numFmtId="0" fontId="11" fillId="7" borderId="0" xfId="0" applyFont="1" applyFill="1" applyAlignment="1" applyProtection="1">
      <alignment vertical="center"/>
      <protection hidden="1"/>
    </xf>
    <xf numFmtId="0" fontId="11" fillId="7" borderId="0" xfId="0" applyFont="1" applyFill="1" applyAlignment="1" applyProtection="1">
      <alignment vertical="center"/>
      <protection hidden="1"/>
    </xf>
    <xf numFmtId="0" fontId="11" fillId="7" borderId="0" xfId="0" applyFont="1" applyFill="1" applyAlignment="1" applyProtection="1">
      <alignment vertical="center"/>
      <protection hidden="1"/>
    </xf>
    <xf numFmtId="0" fontId="36" fillId="7" borderId="0" xfId="0" applyFont="1" applyFill="1" applyAlignment="1" applyProtection="1">
      <alignment vertical="center"/>
      <protection locked="0" hidden="1"/>
    </xf>
    <xf numFmtId="9" fontId="20" fillId="7" borderId="13" xfId="1" applyFont="1" applyFill="1" applyBorder="1" applyAlignment="1" applyProtection="1">
      <alignment horizontal="center" vertical="center"/>
      <protection hidden="1"/>
    </xf>
    <xf numFmtId="0" fontId="11" fillId="7" borderId="0" xfId="0" applyFont="1" applyFill="1" applyAlignment="1" applyProtection="1">
      <alignment vertical="center"/>
      <protection hidden="1"/>
    </xf>
    <xf numFmtId="0" fontId="22" fillId="0" borderId="12" xfId="0" applyFont="1" applyBorder="1" applyAlignment="1">
      <alignment horizontal="left" vertical="center"/>
    </xf>
    <xf numFmtId="0" fontId="22" fillId="0" borderId="8" xfId="0" applyFont="1" applyBorder="1" applyAlignment="1">
      <alignment horizontal="left" vertical="center" wrapText="1"/>
    </xf>
    <xf numFmtId="0" fontId="63" fillId="0" borderId="0" xfId="0" applyFont="1" applyBorder="1" applyAlignment="1">
      <alignment horizontal="left" vertical="center"/>
    </xf>
    <xf numFmtId="0" fontId="69" fillId="0" borderId="0" xfId="0" applyFont="1" applyAlignment="1" applyProtection="1">
      <alignment vertical="center"/>
    </xf>
    <xf numFmtId="0" fontId="69" fillId="0" borderId="12" xfId="0" applyFont="1" applyFill="1" applyBorder="1" applyAlignment="1" applyProtection="1">
      <alignment horizontal="center" vertical="center"/>
      <protection locked="0"/>
    </xf>
    <xf numFmtId="10" fontId="3" fillId="7" borderId="0" xfId="1" applyNumberFormat="1" applyFont="1" applyFill="1" applyBorder="1" applyAlignment="1" applyProtection="1">
      <alignment horizontal="center" wrapText="1"/>
      <protection hidden="1"/>
    </xf>
    <xf numFmtId="9" fontId="20" fillId="7" borderId="0" xfId="1" applyFont="1" applyFill="1" applyBorder="1" applyAlignment="1" applyProtection="1">
      <alignment horizontal="center" vertical="center"/>
      <protection hidden="1"/>
    </xf>
    <xf numFmtId="1" fontId="22" fillId="5" borderId="7" xfId="0" applyNumberFormat="1" applyFont="1" applyFill="1" applyBorder="1" applyAlignment="1" applyProtection="1">
      <alignment horizontal="right" vertical="center"/>
      <protection locked="0"/>
    </xf>
    <xf numFmtId="0" fontId="15" fillId="7" borderId="0" xfId="2" applyFill="1" applyAlignment="1">
      <alignment vertical="center"/>
    </xf>
    <xf numFmtId="0" fontId="69" fillId="2" borderId="0" xfId="0" applyFont="1" applyFill="1" applyBorder="1" applyAlignment="1">
      <alignment horizontal="left" vertical="center"/>
    </xf>
    <xf numFmtId="0" fontId="114" fillId="2" borderId="0" xfId="0" applyFont="1" applyFill="1" applyBorder="1" applyAlignment="1">
      <alignment horizontal="left" vertical="center"/>
    </xf>
    <xf numFmtId="0" fontId="69" fillId="2" borderId="0" xfId="0" applyFont="1" applyFill="1" applyBorder="1" applyAlignment="1">
      <alignment vertical="center"/>
    </xf>
    <xf numFmtId="0" fontId="69" fillId="2" borderId="13" xfId="0" applyFont="1" applyFill="1" applyBorder="1" applyAlignment="1">
      <alignment vertical="center"/>
    </xf>
    <xf numFmtId="0" fontId="114" fillId="0" borderId="13" xfId="0" applyFont="1" applyBorder="1" applyAlignment="1">
      <alignment vertical="top" wrapText="1"/>
    </xf>
    <xf numFmtId="0" fontId="118" fillId="2" borderId="0" xfId="0" applyFont="1" applyFill="1" applyBorder="1" applyAlignment="1" applyProtection="1">
      <alignment horizontal="left" wrapText="1"/>
    </xf>
    <xf numFmtId="0" fontId="22" fillId="9" borderId="63" xfId="0" applyFont="1" applyFill="1" applyBorder="1" applyAlignment="1" applyProtection="1">
      <alignment horizontal="center" vertical="center"/>
      <protection locked="0"/>
    </xf>
    <xf numFmtId="6" fontId="165" fillId="0" borderId="0" xfId="0" applyNumberFormat="1" applyFont="1" applyBorder="1" applyAlignment="1">
      <alignment vertical="center" wrapText="1"/>
    </xf>
    <xf numFmtId="0" fontId="169" fillId="0" borderId="0" xfId="0" applyFont="1" applyBorder="1" applyAlignment="1">
      <alignment vertical="center" wrapText="1"/>
    </xf>
    <xf numFmtId="0" fontId="1" fillId="0" borderId="7" xfId="0" applyFont="1" applyBorder="1" applyAlignment="1">
      <alignment vertical="center"/>
    </xf>
    <xf numFmtId="0" fontId="25" fillId="0" borderId="0" xfId="0" applyFont="1" applyBorder="1" applyAlignment="1">
      <alignment vertical="center" wrapText="1"/>
    </xf>
    <xf numFmtId="0" fontId="1" fillId="0" borderId="13" xfId="0" applyFont="1" applyBorder="1" applyAlignment="1">
      <alignment vertical="center"/>
    </xf>
    <xf numFmtId="164" fontId="1" fillId="8" borderId="0" xfId="0" applyNumberFormat="1" applyFont="1" applyFill="1" applyBorder="1" applyAlignment="1">
      <alignment vertical="center"/>
    </xf>
    <xf numFmtId="167" fontId="1" fillId="8" borderId="0" xfId="0" applyNumberFormat="1" applyFont="1" applyFill="1" applyBorder="1" applyAlignment="1">
      <alignment vertical="center"/>
    </xf>
    <xf numFmtId="0" fontId="37" fillId="9" borderId="0" xfId="0" applyFont="1" applyFill="1" applyBorder="1" applyAlignment="1" applyProtection="1">
      <alignment vertical="center" textRotation="90"/>
      <protection locked="0"/>
    </xf>
    <xf numFmtId="0" fontId="91" fillId="0" borderId="55" xfId="0" applyFont="1" applyBorder="1" applyAlignment="1">
      <alignment vertical="center" wrapText="1"/>
    </xf>
    <xf numFmtId="0" fontId="61" fillId="0" borderId="0" xfId="0" applyFont="1" applyBorder="1" applyAlignment="1">
      <alignment vertical="top" wrapText="1"/>
    </xf>
    <xf numFmtId="0" fontId="0" fillId="8" borderId="174" xfId="0" applyFill="1" applyBorder="1" applyAlignment="1" applyProtection="1">
      <alignment horizontal="center" vertical="center"/>
      <protection locked="0"/>
    </xf>
    <xf numFmtId="0" fontId="0" fillId="0" borderId="175" xfId="0" applyBorder="1" applyAlignment="1">
      <alignment vertical="center"/>
    </xf>
    <xf numFmtId="0" fontId="11" fillId="8" borderId="134" xfId="0" applyFont="1" applyFill="1" applyBorder="1" applyAlignment="1" applyProtection="1">
      <alignment horizontal="right" vertical="center"/>
      <protection locked="0"/>
    </xf>
    <xf numFmtId="0" fontId="115" fillId="0" borderId="0" xfId="0" applyFont="1" applyBorder="1" applyAlignment="1">
      <alignment horizontal="center" vertical="center"/>
    </xf>
    <xf numFmtId="0" fontId="16" fillId="2" borderId="23" xfId="0" applyFont="1" applyFill="1" applyBorder="1" applyAlignment="1" applyProtection="1">
      <alignment vertical="center" wrapText="1"/>
    </xf>
    <xf numFmtId="0" fontId="16" fillId="2" borderId="17" xfId="0" applyFont="1" applyFill="1" applyBorder="1" applyAlignment="1" applyProtection="1">
      <alignment vertical="center" wrapText="1"/>
      <protection locked="0"/>
    </xf>
    <xf numFmtId="0" fontId="16" fillId="2" borderId="23" xfId="0" applyFont="1" applyFill="1" applyBorder="1" applyAlignment="1" applyProtection="1">
      <alignment vertical="center" wrapText="1"/>
      <protection locked="0"/>
    </xf>
    <xf numFmtId="0" fontId="125" fillId="0" borderId="0" xfId="0" applyFont="1" applyBorder="1" applyAlignment="1">
      <alignment vertical="center"/>
    </xf>
    <xf numFmtId="167" fontId="0" fillId="0" borderId="0" xfId="0" applyNumberFormat="1" applyAlignment="1">
      <alignment horizontal="right"/>
    </xf>
    <xf numFmtId="6" fontId="0" fillId="0" borderId="0" xfId="0" applyNumberFormat="1" applyAlignment="1">
      <alignment horizontal="right"/>
    </xf>
    <xf numFmtId="10" fontId="0" fillId="0" borderId="0" xfId="1" applyNumberFormat="1" applyFont="1" applyAlignment="1">
      <alignment horizontal="right"/>
    </xf>
    <xf numFmtId="14" fontId="0" fillId="0" borderId="0" xfId="0" applyNumberFormat="1" applyAlignment="1">
      <alignment horizontal="right"/>
    </xf>
    <xf numFmtId="10" fontId="0" fillId="0" borderId="0" xfId="0" applyNumberFormat="1" applyAlignment="1">
      <alignment horizontal="right"/>
    </xf>
    <xf numFmtId="167" fontId="0" fillId="0" borderId="0" xfId="0" applyNumberFormat="1" applyAlignment="1">
      <alignment horizontal="left"/>
    </xf>
    <xf numFmtId="10" fontId="0" fillId="0" borderId="0" xfId="0" applyNumberFormat="1" applyAlignment="1">
      <alignment horizontal="left"/>
    </xf>
    <xf numFmtId="167" fontId="0" fillId="0" borderId="0" xfId="0" applyNumberFormat="1" applyAlignment="1">
      <alignment horizontal="center"/>
    </xf>
    <xf numFmtId="164" fontId="0" fillId="9" borderId="36" xfId="0" applyNumberFormat="1" applyFill="1" applyBorder="1" applyAlignment="1">
      <alignment horizontal="center"/>
    </xf>
    <xf numFmtId="0" fontId="0" fillId="0" borderId="8" xfId="0" applyFont="1" applyFill="1" applyBorder="1" applyAlignment="1"/>
    <xf numFmtId="0" fontId="1" fillId="8" borderId="6" xfId="0" applyFont="1" applyFill="1" applyBorder="1" applyAlignment="1" applyProtection="1">
      <alignment vertical="center"/>
      <protection locked="0"/>
    </xf>
    <xf numFmtId="0" fontId="1" fillId="8" borderId="7" xfId="0" applyFont="1" applyFill="1" applyBorder="1" applyAlignment="1" applyProtection="1">
      <alignment vertical="center"/>
      <protection locked="0"/>
    </xf>
    <xf numFmtId="0" fontId="113" fillId="8" borderId="0" xfId="0" applyFont="1" applyFill="1" applyBorder="1" applyAlignment="1">
      <alignment horizontal="left" vertical="center" wrapText="1"/>
    </xf>
    <xf numFmtId="0" fontId="1" fillId="8" borderId="0" xfId="0" applyFont="1" applyFill="1" applyBorder="1" applyAlignment="1">
      <alignment horizontal="left" vertical="center"/>
    </xf>
    <xf numFmtId="164" fontId="1" fillId="8" borderId="0" xfId="0" applyNumberFormat="1" applyFont="1" applyFill="1" applyBorder="1" applyAlignment="1">
      <alignment horizontal="left" vertical="center"/>
    </xf>
    <xf numFmtId="6" fontId="1" fillId="7" borderId="0" xfId="0" applyNumberFormat="1" applyFont="1" applyFill="1" applyBorder="1" applyAlignment="1" applyProtection="1">
      <alignment horizontal="left" vertical="center" wrapText="1"/>
    </xf>
    <xf numFmtId="0" fontId="132" fillId="0" borderId="0" xfId="0" applyFont="1" applyBorder="1" applyAlignment="1">
      <alignment horizontal="left" vertical="center"/>
    </xf>
    <xf numFmtId="167" fontId="1" fillId="9" borderId="0" xfId="0" applyNumberFormat="1" applyFont="1" applyFill="1" applyBorder="1" applyAlignment="1" applyProtection="1">
      <alignment vertical="center"/>
    </xf>
    <xf numFmtId="167" fontId="1" fillId="7" borderId="39" xfId="0" applyNumberFormat="1" applyFont="1" applyFill="1" applyBorder="1" applyAlignment="1" applyProtection="1">
      <alignment vertical="center"/>
    </xf>
    <xf numFmtId="167" fontId="147" fillId="5" borderId="6" xfId="0" applyNumberFormat="1" applyFont="1" applyFill="1" applyBorder="1" applyAlignment="1" applyProtection="1">
      <alignment vertical="center" wrapText="1"/>
    </xf>
    <xf numFmtId="49" fontId="1" fillId="8" borderId="6" xfId="0" applyNumberFormat="1" applyFont="1" applyFill="1" applyBorder="1" applyAlignment="1" applyProtection="1">
      <alignment vertical="center"/>
      <protection locked="0"/>
    </xf>
    <xf numFmtId="0" fontId="118" fillId="2" borderId="15" xfId="0" applyFont="1" applyFill="1" applyBorder="1" applyAlignment="1">
      <alignment horizontal="center" wrapText="1"/>
    </xf>
    <xf numFmtId="0" fontId="149" fillId="7" borderId="0" xfId="2" applyFont="1" applyFill="1" applyAlignment="1">
      <alignment vertical="center"/>
    </xf>
    <xf numFmtId="0" fontId="26" fillId="7" borderId="0" xfId="2" applyFont="1" applyFill="1" applyAlignment="1" applyProtection="1">
      <alignment vertical="center"/>
    </xf>
    <xf numFmtId="0" fontId="11" fillId="7" borderId="0" xfId="0" applyFont="1" applyFill="1" applyAlignment="1" applyProtection="1">
      <alignment vertical="center"/>
      <protection hidden="1"/>
    </xf>
    <xf numFmtId="0" fontId="1" fillId="8" borderId="0" xfId="0" applyFont="1" applyFill="1" applyBorder="1" applyAlignment="1">
      <alignment horizontal="left" vertical="center"/>
    </xf>
    <xf numFmtId="0" fontId="18" fillId="0" borderId="6" xfId="0"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0" fontId="18" fillId="0" borderId="5" xfId="0" applyFont="1" applyFill="1" applyBorder="1" applyAlignment="1" applyProtection="1">
      <alignment horizontal="left" vertical="center"/>
      <protection locked="0"/>
    </xf>
    <xf numFmtId="0" fontId="42" fillId="0" borderId="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11" fillId="7" borderId="0" xfId="0" applyFont="1" applyFill="1" applyAlignment="1" applyProtection="1">
      <alignment vertical="center"/>
      <protection hidden="1"/>
    </xf>
    <xf numFmtId="0" fontId="118" fillId="2" borderId="42" xfId="0" applyFont="1" applyFill="1" applyBorder="1" applyAlignment="1">
      <alignment horizontal="center" wrapText="1"/>
    </xf>
    <xf numFmtId="0" fontId="118" fillId="0" borderId="0" xfId="0" applyFont="1" applyAlignment="1">
      <alignment vertical="center"/>
    </xf>
    <xf numFmtId="0" fontId="175" fillId="2" borderId="43" xfId="0" applyFont="1" applyFill="1" applyBorder="1" applyAlignment="1">
      <alignment horizontal="center" wrapText="1"/>
    </xf>
    <xf numFmtId="167" fontId="1" fillId="8" borderId="0" xfId="3" applyNumberFormat="1" applyFont="1" applyFill="1" applyBorder="1" applyAlignment="1">
      <alignment horizontal="left" vertical="center"/>
    </xf>
    <xf numFmtId="6" fontId="1" fillId="7" borderId="0" xfId="0" applyNumberFormat="1" applyFont="1" applyFill="1" applyBorder="1" applyAlignment="1">
      <alignment horizontal="right" vertical="center" wrapText="1"/>
    </xf>
    <xf numFmtId="6" fontId="1" fillId="7" borderId="0" xfId="0" applyNumberFormat="1" applyFont="1" applyFill="1" applyBorder="1" applyAlignment="1">
      <alignment horizontal="left" vertical="center" wrapText="1"/>
    </xf>
    <xf numFmtId="0" fontId="11" fillId="7" borderId="0" xfId="0" applyFont="1" applyFill="1" applyAlignment="1" applyProtection="1">
      <alignment vertical="center"/>
      <protection hidden="1"/>
    </xf>
    <xf numFmtId="167" fontId="1" fillId="8" borderId="0" xfId="3" applyNumberFormat="1" applyFont="1" applyFill="1" applyBorder="1" applyAlignment="1">
      <alignment horizontal="left" vertical="center"/>
    </xf>
    <xf numFmtId="0" fontId="0" fillId="0" borderId="0" xfId="0" applyProtection="1">
      <protection hidden="1"/>
    </xf>
    <xf numFmtId="10" fontId="0" fillId="0" borderId="0" xfId="0" applyNumberFormat="1" applyProtection="1">
      <protection hidden="1"/>
    </xf>
    <xf numFmtId="0" fontId="0" fillId="0" borderId="0" xfId="0" applyNumberFormat="1" applyProtection="1">
      <protection hidden="1"/>
    </xf>
    <xf numFmtId="0" fontId="10" fillId="28" borderId="40" xfId="0" applyFont="1" applyFill="1" applyBorder="1" applyAlignment="1" applyProtection="1">
      <alignment horizontal="center"/>
      <protection hidden="1"/>
    </xf>
    <xf numFmtId="0" fontId="10" fillId="28" borderId="38" xfId="0" applyFont="1" applyFill="1" applyBorder="1" applyAlignment="1" applyProtection="1">
      <alignment horizontal="center"/>
      <protection hidden="1"/>
    </xf>
    <xf numFmtId="10" fontId="10" fillId="28" borderId="191" xfId="0" applyNumberFormat="1" applyFont="1" applyFill="1" applyBorder="1" applyAlignment="1" applyProtection="1">
      <alignment horizontal="center" vertical="center" wrapText="1"/>
      <protection hidden="1"/>
    </xf>
    <xf numFmtId="10" fontId="10" fillId="28" borderId="161" xfId="0" applyNumberFormat="1" applyFont="1" applyFill="1" applyBorder="1" applyAlignment="1" applyProtection="1">
      <alignment horizontal="center" vertical="center" wrapText="1"/>
      <protection hidden="1"/>
    </xf>
    <xf numFmtId="172" fontId="0" fillId="9" borderId="197" xfId="0" applyNumberFormat="1" applyFill="1" applyBorder="1" applyAlignment="1" applyProtection="1">
      <alignment horizontal="center"/>
      <protection hidden="1"/>
    </xf>
    <xf numFmtId="0" fontId="0" fillId="28" borderId="158" xfId="0" applyNumberFormat="1" applyFill="1" applyBorder="1" applyAlignment="1" applyProtection="1">
      <alignment horizontal="center"/>
      <protection hidden="1"/>
    </xf>
    <xf numFmtId="1" fontId="0" fillId="28" borderId="156" xfId="1" applyNumberFormat="1" applyFont="1" applyFill="1" applyBorder="1" applyAlignment="1" applyProtection="1">
      <alignment horizontal="center"/>
      <protection hidden="1"/>
    </xf>
    <xf numFmtId="9" fontId="147" fillId="28" borderId="198" xfId="1" applyFont="1" applyFill="1" applyBorder="1" applyAlignment="1" applyProtection="1">
      <alignment vertical="center" wrapText="1"/>
      <protection hidden="1"/>
    </xf>
    <xf numFmtId="168" fontId="147" fillId="28" borderId="199" xfId="0" applyNumberFormat="1" applyFont="1" applyFill="1" applyBorder="1" applyAlignment="1" applyProtection="1">
      <alignment vertical="center" wrapText="1"/>
      <protection hidden="1"/>
    </xf>
    <xf numFmtId="44" fontId="147" fillId="0" borderId="201" xfId="3" applyFont="1" applyFill="1" applyBorder="1" applyAlignment="1" applyProtection="1">
      <alignment vertical="center" wrapText="1"/>
      <protection hidden="1"/>
    </xf>
    <xf numFmtId="0" fontId="0" fillId="0" borderId="0" xfId="0" applyFill="1" applyProtection="1">
      <protection hidden="1"/>
    </xf>
    <xf numFmtId="0" fontId="177" fillId="28" borderId="206" xfId="0" applyFont="1" applyFill="1" applyBorder="1" applyAlignment="1" applyProtection="1">
      <protection hidden="1"/>
    </xf>
    <xf numFmtId="0" fontId="177" fillId="28" borderId="181" xfId="0" applyFont="1" applyFill="1" applyBorder="1" applyAlignment="1" applyProtection="1">
      <protection hidden="1"/>
    </xf>
    <xf numFmtId="0" fontId="177" fillId="28" borderId="0" xfId="0" applyFont="1" applyFill="1" applyBorder="1" applyAlignment="1" applyProtection="1">
      <protection hidden="1"/>
    </xf>
    <xf numFmtId="0" fontId="177" fillId="28" borderId="0" xfId="0" applyFont="1" applyFill="1" applyBorder="1" applyAlignment="1" applyProtection="1">
      <alignment vertical="center"/>
      <protection hidden="1"/>
    </xf>
    <xf numFmtId="0" fontId="177" fillId="28" borderId="207" xfId="0" applyFont="1" applyFill="1" applyBorder="1" applyAlignment="1" applyProtection="1">
      <protection hidden="1"/>
    </xf>
    <xf numFmtId="14" fontId="176" fillId="28" borderId="208" xfId="0" applyNumberFormat="1" applyFont="1" applyFill="1" applyBorder="1" applyAlignment="1" applyProtection="1">
      <alignment horizontal="center" vertical="center" wrapText="1"/>
      <protection hidden="1"/>
    </xf>
    <xf numFmtId="0" fontId="5" fillId="28" borderId="208" xfId="0" applyNumberFormat="1" applyFont="1" applyFill="1" applyBorder="1" applyAlignment="1" applyProtection="1">
      <alignment horizontal="center" vertical="center"/>
      <protection hidden="1"/>
    </xf>
    <xf numFmtId="44" fontId="47" fillId="28" borderId="209" xfId="0" applyNumberFormat="1" applyFont="1" applyFill="1" applyBorder="1" applyAlignment="1" applyProtection="1">
      <alignment vertical="center"/>
      <protection hidden="1"/>
    </xf>
    <xf numFmtId="0" fontId="177" fillId="28" borderId="181" xfId="0" applyFont="1" applyFill="1" applyBorder="1" applyAlignment="1" applyProtection="1">
      <alignment vertical="center"/>
      <protection hidden="1"/>
    </xf>
    <xf numFmtId="0" fontId="177" fillId="28" borderId="180" xfId="0" applyFont="1" applyFill="1" applyBorder="1" applyAlignment="1" applyProtection="1">
      <protection hidden="1"/>
    </xf>
    <xf numFmtId="0" fontId="5" fillId="28" borderId="210" xfId="0" applyFont="1" applyFill="1" applyBorder="1" applyAlignment="1" applyProtection="1">
      <alignment horizontal="center"/>
      <protection hidden="1"/>
    </xf>
    <xf numFmtId="14" fontId="5" fillId="28" borderId="210" xfId="0" applyNumberFormat="1" applyFont="1" applyFill="1" applyBorder="1" applyAlignment="1" applyProtection="1">
      <alignment horizontal="center"/>
      <protection hidden="1"/>
    </xf>
    <xf numFmtId="14" fontId="10" fillId="28" borderId="210" xfId="0" applyNumberFormat="1" applyFont="1" applyFill="1" applyBorder="1" applyAlignment="1" applyProtection="1">
      <alignment horizontal="center"/>
      <protection hidden="1"/>
    </xf>
    <xf numFmtId="10" fontId="10" fillId="28" borderId="210" xfId="0" applyNumberFormat="1" applyFont="1" applyFill="1" applyBorder="1" applyAlignment="1" applyProtection="1">
      <alignment horizontal="center"/>
      <protection hidden="1"/>
    </xf>
    <xf numFmtId="0" fontId="176" fillId="28" borderId="210" xfId="0" applyFont="1" applyFill="1" applyBorder="1" applyAlignment="1" applyProtection="1">
      <alignment horizontal="center" vertical="center" wrapText="1"/>
      <protection hidden="1"/>
    </xf>
    <xf numFmtId="0" fontId="0" fillId="28" borderId="212" xfId="0" applyFill="1" applyBorder="1" applyProtection="1">
      <protection hidden="1"/>
    </xf>
    <xf numFmtId="1" fontId="0" fillId="0" borderId="54" xfId="0" applyNumberFormat="1" applyBorder="1" applyProtection="1">
      <protection hidden="1"/>
    </xf>
    <xf numFmtId="44" fontId="0" fillId="0" borderId="54" xfId="3" applyNumberFormat="1" applyFont="1" applyBorder="1" applyProtection="1">
      <protection hidden="1"/>
    </xf>
    <xf numFmtId="44" fontId="0" fillId="0" borderId="54" xfId="3" applyFont="1" applyBorder="1" applyProtection="1">
      <protection hidden="1"/>
    </xf>
    <xf numFmtId="10" fontId="0" fillId="0" borderId="54" xfId="1" applyNumberFormat="1" applyFont="1" applyBorder="1" applyAlignment="1" applyProtection="1">
      <alignment horizontal="center"/>
      <protection hidden="1"/>
    </xf>
    <xf numFmtId="172" fontId="0" fillId="0" borderId="54" xfId="0" applyNumberFormat="1" applyBorder="1" applyAlignment="1" applyProtection="1">
      <alignment horizontal="center"/>
      <protection hidden="1"/>
    </xf>
    <xf numFmtId="44" fontId="0" fillId="0" borderId="194" xfId="3" applyFont="1" applyBorder="1" applyAlignment="1" applyProtection="1">
      <protection hidden="1"/>
    </xf>
    <xf numFmtId="0" fontId="5" fillId="0" borderId="0" xfId="0" applyFont="1" applyBorder="1" applyAlignment="1" applyProtection="1">
      <protection hidden="1"/>
    </xf>
    <xf numFmtId="1" fontId="5" fillId="0" borderId="0" xfId="0" applyNumberFormat="1" applyFont="1" applyBorder="1" applyAlignment="1" applyProtection="1">
      <protection hidden="1"/>
    </xf>
    <xf numFmtId="0" fontId="0" fillId="28" borderId="191" xfId="0" applyFill="1" applyBorder="1" applyProtection="1">
      <protection hidden="1"/>
    </xf>
    <xf numFmtId="1" fontId="0" fillId="0" borderId="160" xfId="0" applyNumberFormat="1" applyBorder="1" applyProtection="1">
      <protection hidden="1"/>
    </xf>
    <xf numFmtId="44" fontId="0" fillId="0" borderId="160" xfId="3" applyFont="1" applyBorder="1" applyProtection="1">
      <protection hidden="1"/>
    </xf>
    <xf numFmtId="10" fontId="0" fillId="0" borderId="160" xfId="1" applyNumberFormat="1" applyFont="1" applyBorder="1" applyAlignment="1" applyProtection="1">
      <alignment horizontal="center"/>
      <protection hidden="1"/>
    </xf>
    <xf numFmtId="172" fontId="0" fillId="0" borderId="160" xfId="0" applyNumberFormat="1" applyBorder="1" applyAlignment="1" applyProtection="1">
      <alignment horizontal="center"/>
      <protection hidden="1"/>
    </xf>
    <xf numFmtId="44" fontId="0" fillId="0" borderId="192" xfId="3" applyFont="1" applyBorder="1" applyAlignment="1" applyProtection="1">
      <protection hidden="1"/>
    </xf>
    <xf numFmtId="0" fontId="36" fillId="0" borderId="0" xfId="0" applyFont="1" applyBorder="1" applyAlignment="1" applyProtection="1">
      <alignment horizontal="right"/>
      <protection hidden="1"/>
    </xf>
    <xf numFmtId="44" fontId="0" fillId="0" borderId="0" xfId="0" applyNumberFormat="1" applyProtection="1">
      <protection hidden="1"/>
    </xf>
    <xf numFmtId="0" fontId="0" fillId="28" borderId="195" xfId="0" applyFill="1" applyBorder="1" applyProtection="1">
      <protection hidden="1"/>
    </xf>
    <xf numFmtId="1" fontId="0" fillId="0" borderId="162" xfId="0" applyNumberFormat="1" applyBorder="1" applyProtection="1">
      <protection hidden="1"/>
    </xf>
    <xf numFmtId="44" fontId="0" fillId="0" borderId="162" xfId="3" applyFont="1" applyBorder="1" applyProtection="1">
      <protection hidden="1"/>
    </xf>
    <xf numFmtId="10" fontId="0" fillId="0" borderId="162" xfId="1" applyNumberFormat="1" applyFont="1" applyBorder="1" applyAlignment="1" applyProtection="1">
      <alignment horizontal="center"/>
      <protection hidden="1"/>
    </xf>
    <xf numFmtId="172" fontId="0" fillId="0" borderId="162" xfId="0" applyNumberFormat="1" applyBorder="1" applyAlignment="1" applyProtection="1">
      <alignment horizontal="center"/>
      <protection hidden="1"/>
    </xf>
    <xf numFmtId="44" fontId="0" fillId="0" borderId="196" xfId="3" applyFont="1" applyBorder="1" applyAlignment="1" applyProtection="1">
      <protection hidden="1"/>
    </xf>
    <xf numFmtId="44" fontId="5" fillId="28" borderId="210" xfId="3" applyFont="1" applyFill="1" applyBorder="1" applyProtection="1">
      <protection hidden="1"/>
    </xf>
    <xf numFmtId="14" fontId="5" fillId="28" borderId="213" xfId="0" applyNumberFormat="1" applyFont="1" applyFill="1" applyBorder="1" applyAlignment="1" applyProtection="1">
      <protection hidden="1"/>
    </xf>
    <xf numFmtId="14" fontId="5" fillId="28" borderId="214" xfId="0" applyNumberFormat="1" applyFont="1" applyFill="1" applyBorder="1" applyAlignment="1" applyProtection="1">
      <protection hidden="1"/>
    </xf>
    <xf numFmtId="14" fontId="74" fillId="28" borderId="214" xfId="0" applyNumberFormat="1" applyFont="1" applyFill="1" applyBorder="1" applyAlignment="1" applyProtection="1">
      <alignment horizontal="right" vertical="center"/>
      <protection hidden="1"/>
    </xf>
    <xf numFmtId="10" fontId="77" fillId="28" borderId="214" xfId="0" applyNumberFormat="1" applyFont="1" applyFill="1" applyBorder="1" applyAlignment="1" applyProtection="1">
      <alignment horizontal="left" vertical="center"/>
      <protection hidden="1"/>
    </xf>
    <xf numFmtId="44" fontId="5" fillId="28" borderId="210" xfId="0" applyNumberFormat="1" applyFont="1" applyFill="1" applyBorder="1" applyAlignment="1" applyProtection="1">
      <alignment wrapText="1"/>
      <protection hidden="1"/>
    </xf>
    <xf numFmtId="0" fontId="36" fillId="0" borderId="0" xfId="0" applyFont="1" applyFill="1" applyBorder="1" applyAlignment="1" applyProtection="1">
      <alignment horizontal="right"/>
      <protection hidden="1"/>
    </xf>
    <xf numFmtId="173" fontId="0" fillId="0" borderId="0" xfId="0" applyNumberFormat="1" applyBorder="1" applyProtection="1">
      <protection hidden="1"/>
    </xf>
    <xf numFmtId="0" fontId="179" fillId="5" borderId="218" xfId="0" applyFont="1" applyFill="1" applyBorder="1" applyAlignment="1" applyProtection="1">
      <alignment vertical="top" wrapText="1"/>
      <protection hidden="1"/>
    </xf>
    <xf numFmtId="0" fontId="176" fillId="5" borderId="219" xfId="0" applyFont="1" applyFill="1" applyBorder="1" applyAlignment="1" applyProtection="1">
      <alignment vertical="top" wrapText="1"/>
      <protection hidden="1"/>
    </xf>
    <xf numFmtId="0" fontId="179" fillId="5" borderId="219" xfId="0" applyFont="1" applyFill="1" applyBorder="1" applyAlignment="1" applyProtection="1">
      <alignment horizontal="right" vertical="top" wrapText="1"/>
      <protection hidden="1"/>
    </xf>
    <xf numFmtId="0" fontId="176" fillId="5" borderId="220" xfId="0" applyFont="1" applyFill="1" applyBorder="1" applyAlignment="1" applyProtection="1">
      <alignment vertical="top" wrapText="1"/>
      <protection hidden="1"/>
    </xf>
    <xf numFmtId="0" fontId="36" fillId="5" borderId="221" xfId="0" applyFont="1" applyFill="1" applyBorder="1" applyAlignment="1" applyProtection="1">
      <alignment vertical="top" wrapText="1"/>
      <protection hidden="1"/>
    </xf>
    <xf numFmtId="0" fontId="36" fillId="5" borderId="222" xfId="0" applyFont="1" applyFill="1" applyBorder="1" applyAlignment="1" applyProtection="1">
      <alignment vertical="top" wrapText="1"/>
      <protection hidden="1"/>
    </xf>
    <xf numFmtId="14" fontId="176" fillId="28" borderId="208" xfId="0" applyNumberFormat="1" applyFont="1" applyFill="1" applyBorder="1" applyAlignment="1" applyProtection="1">
      <alignment horizontal="center" wrapText="1"/>
      <protection hidden="1"/>
    </xf>
    <xf numFmtId="0" fontId="5" fillId="28" borderId="208" xfId="0" applyNumberFormat="1" applyFont="1" applyFill="1" applyBorder="1" applyAlignment="1" applyProtection="1">
      <alignment horizontal="center" wrapText="1"/>
      <protection hidden="1"/>
    </xf>
    <xf numFmtId="44" fontId="47" fillId="28" borderId="210" xfId="0" applyNumberFormat="1" applyFont="1" applyFill="1" applyBorder="1" applyAlignment="1" applyProtection="1">
      <alignment vertical="center"/>
      <protection hidden="1"/>
    </xf>
    <xf numFmtId="10" fontId="5" fillId="28" borderId="179" xfId="0" applyNumberFormat="1" applyFont="1" applyFill="1" applyBorder="1" applyAlignment="1" applyProtection="1">
      <alignment horizontal="right" vertical="center"/>
      <protection hidden="1"/>
    </xf>
    <xf numFmtId="10" fontId="147" fillId="0" borderId="213" xfId="1" applyNumberFormat="1" applyFont="1" applyFill="1" applyBorder="1" applyAlignment="1" applyProtection="1">
      <alignment vertical="center"/>
      <protection hidden="1"/>
    </xf>
    <xf numFmtId="0" fontId="30" fillId="31" borderId="213" xfId="0" applyFont="1" applyFill="1" applyBorder="1" applyAlignment="1" applyProtection="1">
      <alignment horizontal="right" wrapText="1"/>
      <protection hidden="1"/>
    </xf>
    <xf numFmtId="1" fontId="30" fillId="0" borderId="210" xfId="0" applyNumberFormat="1" applyFont="1" applyFill="1" applyBorder="1" applyAlignment="1" applyProtection="1">
      <alignment horizontal="center" vertical="center"/>
      <protection hidden="1"/>
    </xf>
    <xf numFmtId="0" fontId="5" fillId="28" borderId="176" xfId="0" applyFont="1" applyFill="1" applyBorder="1" applyAlignment="1" applyProtection="1">
      <alignment horizontal="center" vertical="center"/>
      <protection hidden="1"/>
    </xf>
    <xf numFmtId="14" fontId="5" fillId="28" borderId="224" xfId="0" applyNumberFormat="1" applyFont="1" applyFill="1" applyBorder="1" applyAlignment="1" applyProtection="1">
      <alignment horizontal="center" vertical="center"/>
      <protection hidden="1"/>
    </xf>
    <xf numFmtId="10" fontId="10" fillId="28" borderId="224" xfId="0" applyNumberFormat="1" applyFont="1" applyFill="1" applyBorder="1" applyAlignment="1" applyProtection="1">
      <alignment horizontal="center" vertical="center" wrapText="1"/>
      <protection hidden="1"/>
    </xf>
    <xf numFmtId="10" fontId="5" fillId="28" borderId="176" xfId="0" applyNumberFormat="1" applyFont="1" applyFill="1" applyBorder="1" applyAlignment="1" applyProtection="1">
      <alignment horizontal="center" vertical="center"/>
      <protection hidden="1"/>
    </xf>
    <xf numFmtId="0" fontId="176" fillId="28" borderId="176" xfId="0" applyFont="1" applyFill="1" applyBorder="1" applyAlignment="1" applyProtection="1">
      <alignment horizontal="center" vertical="center"/>
      <protection hidden="1"/>
    </xf>
    <xf numFmtId="0" fontId="74" fillId="31" borderId="176" xfId="0" applyFont="1" applyFill="1" applyBorder="1" applyAlignment="1" applyProtection="1">
      <alignment vertical="center" wrapText="1"/>
      <protection hidden="1"/>
    </xf>
    <xf numFmtId="0" fontId="74" fillId="31" borderId="224" xfId="0" applyFont="1" applyFill="1" applyBorder="1" applyAlignment="1" applyProtection="1">
      <alignment vertical="center" wrapText="1"/>
      <protection hidden="1"/>
    </xf>
    <xf numFmtId="0" fontId="0" fillId="28" borderId="182" xfId="0" applyFill="1" applyBorder="1" applyProtection="1">
      <protection hidden="1"/>
    </xf>
    <xf numFmtId="44" fontId="0" fillId="0" borderId="225" xfId="3" applyFont="1" applyBorder="1" applyProtection="1">
      <protection hidden="1"/>
    </xf>
    <xf numFmtId="0" fontId="10" fillId="0" borderId="225" xfId="0" applyNumberFormat="1" applyFont="1" applyBorder="1" applyAlignment="1" applyProtection="1">
      <alignment horizontal="center"/>
      <protection hidden="1"/>
    </xf>
    <xf numFmtId="10" fontId="0" fillId="0" borderId="183" xfId="1" applyNumberFormat="1" applyFont="1" applyFill="1" applyBorder="1" applyProtection="1">
      <protection hidden="1"/>
    </xf>
    <xf numFmtId="44" fontId="0" fillId="31" borderId="182" xfId="3" applyFont="1" applyFill="1" applyBorder="1" applyAlignment="1" applyProtection="1">
      <protection hidden="1"/>
    </xf>
    <xf numFmtId="44" fontId="0" fillId="31" borderId="183" xfId="3" applyFont="1" applyFill="1" applyBorder="1" applyAlignment="1" applyProtection="1">
      <protection hidden="1"/>
    </xf>
    <xf numFmtId="0" fontId="10" fillId="0" borderId="160" xfId="0" applyNumberFormat="1" applyFont="1" applyBorder="1" applyAlignment="1" applyProtection="1">
      <alignment horizontal="center"/>
      <protection hidden="1"/>
    </xf>
    <xf numFmtId="10" fontId="0" fillId="0" borderId="192" xfId="1" applyNumberFormat="1" applyFont="1" applyFill="1" applyBorder="1" applyProtection="1">
      <protection hidden="1"/>
    </xf>
    <xf numFmtId="44" fontId="0" fillId="31" borderId="191" xfId="3" applyFont="1" applyFill="1" applyBorder="1" applyAlignment="1" applyProtection="1">
      <protection hidden="1"/>
    </xf>
    <xf numFmtId="44" fontId="0" fillId="31" borderId="192" xfId="3" applyFont="1" applyFill="1" applyBorder="1" applyAlignment="1" applyProtection="1">
      <protection hidden="1"/>
    </xf>
    <xf numFmtId="0" fontId="0" fillId="28" borderId="198" xfId="0" applyFill="1" applyBorder="1" applyProtection="1">
      <protection hidden="1"/>
    </xf>
    <xf numFmtId="44" fontId="0" fillId="0" borderId="228" xfId="3" applyFont="1" applyBorder="1" applyProtection="1">
      <protection hidden="1"/>
    </xf>
    <xf numFmtId="0" fontId="10" fillId="0" borderId="228" xfId="0" applyNumberFormat="1" applyFont="1" applyBorder="1" applyAlignment="1" applyProtection="1">
      <alignment horizontal="center"/>
      <protection hidden="1"/>
    </xf>
    <xf numFmtId="10" fontId="0" fillId="0" borderId="201" xfId="1" applyNumberFormat="1" applyFont="1" applyFill="1" applyBorder="1" applyProtection="1">
      <protection hidden="1"/>
    </xf>
    <xf numFmtId="44" fontId="0" fillId="31" borderId="198" xfId="3" applyFont="1" applyFill="1" applyBorder="1" applyAlignment="1" applyProtection="1">
      <protection hidden="1"/>
    </xf>
    <xf numFmtId="44" fontId="0" fillId="31" borderId="201" xfId="3" applyFont="1" applyFill="1" applyBorder="1" applyAlignment="1" applyProtection="1">
      <protection hidden="1"/>
    </xf>
    <xf numFmtId="0" fontId="5" fillId="28" borderId="206" xfId="0" applyFont="1" applyFill="1" applyBorder="1" applyAlignment="1" applyProtection="1">
      <protection hidden="1"/>
    </xf>
    <xf numFmtId="0" fontId="5" fillId="28" borderId="0" xfId="0" applyFont="1" applyFill="1" applyBorder="1" applyAlignment="1" applyProtection="1">
      <protection hidden="1"/>
    </xf>
    <xf numFmtId="0" fontId="0" fillId="28" borderId="0" xfId="0" applyFont="1" applyFill="1" applyBorder="1" applyAlignment="1" applyProtection="1">
      <alignment horizontal="right"/>
      <protection hidden="1"/>
    </xf>
    <xf numFmtId="44" fontId="0" fillId="28" borderId="39" xfId="0" applyNumberFormat="1" applyFont="1" applyFill="1" applyBorder="1" applyAlignment="1" applyProtection="1">
      <protection hidden="1"/>
    </xf>
    <xf numFmtId="10" fontId="0" fillId="28" borderId="0" xfId="0" applyNumberFormat="1" applyFill="1" applyBorder="1" applyProtection="1">
      <protection hidden="1"/>
    </xf>
    <xf numFmtId="0" fontId="36" fillId="28" borderId="0" xfId="0" applyFont="1" applyFill="1" applyBorder="1" applyAlignment="1" applyProtection="1">
      <alignment horizontal="right"/>
      <protection hidden="1"/>
    </xf>
    <xf numFmtId="173" fontId="10" fillId="31" borderId="206" xfId="3" applyNumberFormat="1" applyFont="1" applyFill="1" applyBorder="1" applyAlignment="1" applyProtection="1">
      <alignment vertical="top"/>
      <protection hidden="1"/>
    </xf>
    <xf numFmtId="173" fontId="10" fillId="31" borderId="207" xfId="3" applyNumberFormat="1" applyFont="1" applyFill="1" applyBorder="1" applyAlignment="1" applyProtection="1">
      <alignment vertical="top"/>
      <protection hidden="1"/>
    </xf>
    <xf numFmtId="0" fontId="5" fillId="0" borderId="0" xfId="0" applyFont="1" applyFill="1" applyBorder="1" applyAlignment="1" applyProtection="1">
      <protection hidden="1"/>
    </xf>
    <xf numFmtId="0" fontId="5" fillId="28" borderId="179" xfId="0" applyFont="1" applyFill="1" applyBorder="1" applyProtection="1">
      <protection hidden="1"/>
    </xf>
    <xf numFmtId="0" fontId="5" fillId="28" borderId="181" xfId="0" applyFont="1" applyFill="1" applyBorder="1" applyProtection="1">
      <protection hidden="1"/>
    </xf>
    <xf numFmtId="0" fontId="5" fillId="28" borderId="181" xfId="0" applyFont="1" applyFill="1" applyBorder="1" applyAlignment="1" applyProtection="1">
      <alignment horizontal="right"/>
      <protection hidden="1"/>
    </xf>
    <xf numFmtId="173" fontId="5" fillId="28" borderId="181" xfId="0" applyNumberFormat="1" applyFont="1" applyFill="1" applyBorder="1" applyProtection="1">
      <protection hidden="1"/>
    </xf>
    <xf numFmtId="173" fontId="47" fillId="31" borderId="179" xfId="3" applyNumberFormat="1" applyFont="1" applyFill="1" applyBorder="1" applyAlignment="1" applyProtection="1">
      <alignment vertical="top"/>
      <protection hidden="1"/>
    </xf>
    <xf numFmtId="173" fontId="47" fillId="31" borderId="180" xfId="3" applyNumberFormat="1" applyFont="1" applyFill="1" applyBorder="1" applyAlignment="1" applyProtection="1">
      <alignment vertical="top"/>
      <protection hidden="1"/>
    </xf>
    <xf numFmtId="0" fontId="57" fillId="0" borderId="0" xfId="0" applyFont="1" applyProtection="1">
      <protection hidden="1"/>
    </xf>
    <xf numFmtId="10" fontId="180" fillId="0" borderId="178" xfId="1" applyNumberFormat="1" applyFont="1" applyFill="1" applyBorder="1" applyAlignment="1" applyProtection="1">
      <alignment vertical="center"/>
      <protection hidden="1"/>
    </xf>
    <xf numFmtId="10" fontId="47" fillId="0" borderId="0" xfId="0" applyNumberFormat="1" applyFont="1" applyBorder="1" applyAlignment="1" applyProtection="1">
      <alignment vertical="center"/>
      <protection hidden="1"/>
    </xf>
    <xf numFmtId="0" fontId="0" fillId="0" borderId="0" xfId="0" applyAlignment="1" applyProtection="1">
      <protection hidden="1"/>
    </xf>
    <xf numFmtId="0" fontId="177" fillId="25" borderId="176" xfId="0" applyFont="1" applyFill="1" applyBorder="1" applyAlignment="1" applyProtection="1">
      <protection hidden="1"/>
    </xf>
    <xf numFmtId="0" fontId="177" fillId="25" borderId="178" xfId="0" applyFont="1" applyFill="1" applyBorder="1" applyAlignment="1" applyProtection="1">
      <protection hidden="1"/>
    </xf>
    <xf numFmtId="1" fontId="47" fillId="0" borderId="210" xfId="0" applyNumberFormat="1" applyFont="1" applyFill="1" applyBorder="1" applyAlignment="1" applyProtection="1">
      <alignment horizontal="center" vertical="center"/>
      <protection hidden="1"/>
    </xf>
    <xf numFmtId="14" fontId="176" fillId="25" borderId="179" xfId="0" applyNumberFormat="1" applyFont="1" applyFill="1" applyBorder="1" applyAlignment="1" applyProtection="1">
      <alignment wrapText="1"/>
      <protection hidden="1"/>
    </xf>
    <xf numFmtId="14" fontId="176" fillId="25" borderId="181" xfId="0" applyNumberFormat="1" applyFont="1" applyFill="1" applyBorder="1" applyAlignment="1" applyProtection="1">
      <alignment wrapText="1"/>
      <protection hidden="1"/>
    </xf>
    <xf numFmtId="14" fontId="5" fillId="25" borderId="224" xfId="0" applyNumberFormat="1" applyFont="1" applyFill="1" applyBorder="1" applyAlignment="1" applyProtection="1">
      <alignment horizontal="center" vertical="center"/>
      <protection hidden="1"/>
    </xf>
    <xf numFmtId="14" fontId="5" fillId="25" borderId="210" xfId="0" applyNumberFormat="1" applyFont="1" applyFill="1" applyBorder="1" applyAlignment="1" applyProtection="1">
      <alignment horizontal="center" vertical="center"/>
      <protection hidden="1"/>
    </xf>
    <xf numFmtId="10" fontId="176" fillId="25" borderId="224" xfId="0" applyNumberFormat="1" applyFont="1" applyFill="1" applyBorder="1" applyAlignment="1" applyProtection="1">
      <alignment horizontal="center" vertical="center" wrapText="1"/>
      <protection hidden="1"/>
    </xf>
    <xf numFmtId="0" fontId="176" fillId="25" borderId="224" xfId="0" applyFont="1" applyFill="1" applyBorder="1" applyAlignment="1" applyProtection="1">
      <alignment horizontal="center" vertical="center"/>
      <protection hidden="1"/>
    </xf>
    <xf numFmtId="0" fontId="46" fillId="32" borderId="210" xfId="0" applyFont="1" applyFill="1" applyBorder="1" applyAlignment="1" applyProtection="1">
      <alignment horizontal="center" vertical="center"/>
      <protection hidden="1"/>
    </xf>
    <xf numFmtId="0" fontId="10" fillId="32" borderId="210" xfId="0" applyFont="1" applyFill="1" applyBorder="1" applyAlignment="1" applyProtection="1">
      <alignment horizontal="center" vertical="center" wrapText="1"/>
      <protection hidden="1"/>
    </xf>
    <xf numFmtId="0" fontId="10" fillId="25" borderId="210" xfId="0" applyFont="1" applyFill="1" applyBorder="1" applyAlignment="1" applyProtection="1">
      <alignment horizontal="center" vertical="center" wrapText="1"/>
      <protection hidden="1"/>
    </xf>
    <xf numFmtId="0" fontId="176" fillId="32" borderId="210" xfId="0" applyFont="1" applyFill="1" applyBorder="1" applyAlignment="1" applyProtection="1">
      <alignment horizontal="center" vertical="center" wrapText="1"/>
      <protection hidden="1"/>
    </xf>
    <xf numFmtId="44" fontId="0" fillId="0" borderId="231" xfId="3" applyFont="1" applyFill="1" applyBorder="1" applyProtection="1">
      <protection hidden="1"/>
    </xf>
    <xf numFmtId="1" fontId="0" fillId="0" borderId="225" xfId="1" applyNumberFormat="1" applyFont="1" applyFill="1" applyBorder="1" applyProtection="1">
      <protection hidden="1"/>
    </xf>
    <xf numFmtId="10" fontId="0" fillId="0" borderId="188" xfId="1" applyNumberFormat="1" applyFont="1" applyFill="1" applyBorder="1" applyProtection="1">
      <protection hidden="1"/>
    </xf>
    <xf numFmtId="10" fontId="42" fillId="0" borderId="183" xfId="1" applyNumberFormat="1" applyFont="1" applyFill="1" applyBorder="1" applyAlignment="1" applyProtection="1">
      <protection hidden="1"/>
    </xf>
    <xf numFmtId="44" fontId="0" fillId="25" borderId="232" xfId="3" applyFont="1" applyFill="1" applyBorder="1" applyAlignment="1" applyProtection="1">
      <protection hidden="1"/>
    </xf>
    <xf numFmtId="44" fontId="0" fillId="25" borderId="194" xfId="3" applyFont="1" applyFill="1" applyBorder="1" applyAlignment="1" applyProtection="1">
      <protection hidden="1"/>
    </xf>
    <xf numFmtId="44" fontId="0" fillId="0" borderId="232" xfId="3" applyFont="1" applyFill="1" applyBorder="1" applyAlignment="1" applyProtection="1">
      <protection hidden="1"/>
    </xf>
    <xf numFmtId="44" fontId="0" fillId="25" borderId="233" xfId="3" applyFont="1" applyFill="1" applyBorder="1" applyProtection="1">
      <protection hidden="1"/>
    </xf>
    <xf numFmtId="44" fontId="0" fillId="0" borderId="38" xfId="3" applyFont="1" applyFill="1" applyBorder="1" applyProtection="1">
      <protection hidden="1"/>
    </xf>
    <xf numFmtId="1" fontId="0" fillId="0" borderId="160" xfId="1" applyNumberFormat="1" applyFont="1" applyFill="1" applyBorder="1" applyProtection="1">
      <protection hidden="1"/>
    </xf>
    <xf numFmtId="10" fontId="0" fillId="0" borderId="163" xfId="1" applyNumberFormat="1" applyFont="1" applyFill="1" applyBorder="1" applyProtection="1">
      <protection hidden="1"/>
    </xf>
    <xf numFmtId="10" fontId="42" fillId="0" borderId="192" xfId="1" applyNumberFormat="1" applyFont="1" applyFill="1" applyBorder="1" applyAlignment="1" applyProtection="1">
      <protection hidden="1"/>
    </xf>
    <xf numFmtId="44" fontId="0" fillId="0" borderId="227" xfId="3" applyFont="1" applyFill="1" applyBorder="1" applyAlignment="1" applyProtection="1">
      <protection hidden="1"/>
    </xf>
    <xf numFmtId="44" fontId="0" fillId="0" borderId="234" xfId="3" applyFont="1" applyFill="1" applyBorder="1" applyProtection="1">
      <protection hidden="1"/>
    </xf>
    <xf numFmtId="1" fontId="0" fillId="0" borderId="228" xfId="1" applyNumberFormat="1" applyFont="1" applyFill="1" applyBorder="1" applyProtection="1">
      <protection hidden="1"/>
    </xf>
    <xf numFmtId="10" fontId="0" fillId="0" borderId="200" xfId="1" applyNumberFormat="1" applyFont="1" applyFill="1" applyBorder="1" applyProtection="1">
      <protection hidden="1"/>
    </xf>
    <xf numFmtId="10" fontId="42" fillId="0" borderId="201" xfId="1" applyNumberFormat="1" applyFont="1" applyFill="1" applyBorder="1" applyAlignment="1" applyProtection="1">
      <protection hidden="1"/>
    </xf>
    <xf numFmtId="44" fontId="0" fillId="25" borderId="179" xfId="3" applyFont="1" applyFill="1" applyBorder="1" applyAlignment="1" applyProtection="1">
      <protection hidden="1"/>
    </xf>
    <xf numFmtId="44" fontId="0" fillId="25" borderId="205" xfId="3" applyFont="1" applyFill="1" applyBorder="1" applyAlignment="1" applyProtection="1">
      <protection hidden="1"/>
    </xf>
    <xf numFmtId="44" fontId="0" fillId="0" borderId="229" xfId="3" applyFont="1" applyFill="1" applyBorder="1" applyAlignment="1" applyProtection="1">
      <protection hidden="1"/>
    </xf>
    <xf numFmtId="44" fontId="0" fillId="25" borderId="180" xfId="3" applyFont="1" applyFill="1" applyBorder="1" applyProtection="1">
      <protection hidden="1"/>
    </xf>
    <xf numFmtId="0" fontId="74" fillId="0" borderId="0" xfId="0" applyFont="1" applyAlignment="1" applyProtection="1">
      <alignment horizontal="left" vertical="center" wrapText="1"/>
      <protection hidden="1"/>
    </xf>
    <xf numFmtId="44" fontId="74" fillId="0" borderId="0" xfId="0" applyNumberFormat="1" applyFont="1" applyFill="1" applyBorder="1" applyAlignment="1" applyProtection="1">
      <alignment horizontal="left" vertical="center" wrapText="1"/>
      <protection hidden="1"/>
    </xf>
    <xf numFmtId="0" fontId="74" fillId="0" borderId="0" xfId="0" applyFont="1" applyFill="1" applyBorder="1" applyAlignment="1" applyProtection="1">
      <alignment horizontal="left" vertical="center" wrapText="1"/>
      <protection hidden="1"/>
    </xf>
    <xf numFmtId="44" fontId="180" fillId="0" borderId="0" xfId="0" applyNumberFormat="1" applyFont="1" applyFill="1" applyBorder="1" applyAlignment="1" applyProtection="1">
      <alignment horizontal="right" vertical="center"/>
      <protection hidden="1"/>
    </xf>
    <xf numFmtId="0" fontId="57" fillId="0" borderId="0" xfId="0" applyFont="1" applyFill="1" applyBorder="1" applyProtection="1">
      <protection hidden="1"/>
    </xf>
    <xf numFmtId="10" fontId="176" fillId="0" borderId="0" xfId="0" applyNumberFormat="1" applyFont="1" applyFill="1" applyBorder="1" applyAlignment="1" applyProtection="1">
      <alignment horizontal="center" vertical="center" wrapText="1"/>
      <protection hidden="1"/>
    </xf>
    <xf numFmtId="0" fontId="176" fillId="0" borderId="0" xfId="0" applyFont="1" applyFill="1" applyBorder="1" applyAlignment="1" applyProtection="1">
      <alignment vertical="center"/>
      <protection hidden="1"/>
    </xf>
    <xf numFmtId="10" fontId="105" fillId="0" borderId="0" xfId="0" applyNumberFormat="1" applyFont="1" applyFill="1" applyBorder="1" applyAlignment="1" applyProtection="1">
      <alignment horizontal="center" vertical="center" wrapText="1"/>
      <protection hidden="1"/>
    </xf>
    <xf numFmtId="0" fontId="105" fillId="0" borderId="0" xfId="0" applyFont="1" applyFill="1" applyBorder="1" applyAlignment="1" applyProtection="1">
      <alignment vertical="center"/>
      <protection hidden="1"/>
    </xf>
    <xf numFmtId="10" fontId="0" fillId="0" borderId="0" xfId="1" applyNumberFormat="1" applyFont="1" applyFill="1" applyBorder="1" applyProtection="1">
      <protection hidden="1"/>
    </xf>
    <xf numFmtId="10" fontId="0" fillId="0" borderId="0" xfId="1" applyNumberFormat="1" applyFont="1" applyFill="1" applyBorder="1" applyAlignment="1" applyProtection="1">
      <protection hidden="1"/>
    </xf>
    <xf numFmtId="10" fontId="57" fillId="0" borderId="0" xfId="1" applyNumberFormat="1" applyFont="1" applyFill="1" applyBorder="1" applyProtection="1">
      <protection hidden="1"/>
    </xf>
    <xf numFmtId="10" fontId="57" fillId="0" borderId="0" xfId="1" applyNumberFormat="1" applyFont="1" applyFill="1" applyBorder="1" applyAlignment="1" applyProtection="1">
      <protection hidden="1"/>
    </xf>
    <xf numFmtId="44" fontId="47" fillId="0" borderId="0" xfId="0" applyNumberFormat="1" applyFont="1" applyFill="1" applyBorder="1" applyAlignment="1" applyProtection="1">
      <alignment horizontal="right" vertical="center"/>
      <protection hidden="1"/>
    </xf>
    <xf numFmtId="9" fontId="0" fillId="0" borderId="0" xfId="1" applyFont="1" applyProtection="1">
      <protection hidden="1"/>
    </xf>
    <xf numFmtId="44" fontId="0" fillId="0" borderId="0" xfId="3" applyFont="1" applyProtection="1">
      <protection hidden="1"/>
    </xf>
    <xf numFmtId="174" fontId="0" fillId="0" borderId="0" xfId="0" applyNumberFormat="1" applyProtection="1">
      <protection hidden="1"/>
    </xf>
    <xf numFmtId="0" fontId="0" fillId="33" borderId="235" xfId="0" applyFill="1" applyBorder="1" applyProtection="1">
      <protection hidden="1"/>
    </xf>
    <xf numFmtId="0" fontId="0" fillId="33" borderId="236" xfId="0" applyFill="1" applyBorder="1" applyProtection="1">
      <protection hidden="1"/>
    </xf>
    <xf numFmtId="10" fontId="0" fillId="33" borderId="236" xfId="0" applyNumberFormat="1" applyFill="1" applyBorder="1" applyProtection="1">
      <protection hidden="1"/>
    </xf>
    <xf numFmtId="0" fontId="0" fillId="33" borderId="237" xfId="0" applyFill="1" applyBorder="1" applyProtection="1">
      <protection hidden="1"/>
    </xf>
    <xf numFmtId="0" fontId="0" fillId="33" borderId="238" xfId="0" applyFill="1" applyBorder="1" applyProtection="1">
      <protection hidden="1"/>
    </xf>
    <xf numFmtId="0" fontId="0" fillId="33" borderId="0" xfId="0" applyFill="1" applyBorder="1" applyProtection="1">
      <protection hidden="1"/>
    </xf>
    <xf numFmtId="10" fontId="0" fillId="33" borderId="0" xfId="0" applyNumberFormat="1" applyFill="1" applyBorder="1" applyProtection="1">
      <protection hidden="1"/>
    </xf>
    <xf numFmtId="0" fontId="0" fillId="33" borderId="239" xfId="0" applyFill="1" applyBorder="1" applyProtection="1">
      <protection hidden="1"/>
    </xf>
    <xf numFmtId="0" fontId="0" fillId="33" borderId="176" xfId="0" applyNumberFormat="1" applyFill="1" applyBorder="1" applyProtection="1">
      <protection hidden="1"/>
    </xf>
    <xf numFmtId="175" fontId="0" fillId="33" borderId="178" xfId="1" applyNumberFormat="1" applyFont="1" applyFill="1" applyBorder="1" applyProtection="1">
      <protection hidden="1"/>
    </xf>
    <xf numFmtId="1" fontId="0" fillId="33" borderId="178" xfId="0" applyNumberFormat="1" applyFill="1" applyBorder="1" applyProtection="1">
      <protection hidden="1"/>
    </xf>
    <xf numFmtId="10" fontId="0" fillId="33" borderId="177" xfId="1" applyNumberFormat="1" applyFont="1" applyFill="1" applyBorder="1" applyProtection="1">
      <protection hidden="1"/>
    </xf>
    <xf numFmtId="0" fontId="0" fillId="33" borderId="239" xfId="0" applyNumberFormat="1" applyFill="1" applyBorder="1" applyProtection="1">
      <protection hidden="1"/>
    </xf>
    <xf numFmtId="0" fontId="0" fillId="33" borderId="206" xfId="0" applyNumberFormat="1" applyFill="1" applyBorder="1" applyProtection="1">
      <protection hidden="1"/>
    </xf>
    <xf numFmtId="175" fontId="0" fillId="33" borderId="0" xfId="1" applyNumberFormat="1" applyFont="1" applyFill="1" applyBorder="1" applyProtection="1">
      <protection hidden="1"/>
    </xf>
    <xf numFmtId="1" fontId="0" fillId="33" borderId="0" xfId="0" applyNumberFormat="1" applyFill="1" applyBorder="1" applyProtection="1">
      <protection hidden="1"/>
    </xf>
    <xf numFmtId="10" fontId="0" fillId="33" borderId="207" xfId="1" applyNumberFormat="1" applyFont="1" applyFill="1" applyBorder="1" applyProtection="1">
      <protection hidden="1"/>
    </xf>
    <xf numFmtId="0" fontId="0" fillId="33" borderId="179" xfId="0" applyNumberFormat="1" applyFill="1" applyBorder="1" applyProtection="1">
      <protection hidden="1"/>
    </xf>
    <xf numFmtId="175" fontId="0" fillId="33" borderId="181" xfId="1" applyNumberFormat="1" applyFont="1" applyFill="1" applyBorder="1" applyProtection="1">
      <protection hidden="1"/>
    </xf>
    <xf numFmtId="1" fontId="0" fillId="33" borderId="181" xfId="0" applyNumberFormat="1" applyFill="1" applyBorder="1" applyProtection="1">
      <protection hidden="1"/>
    </xf>
    <xf numFmtId="10" fontId="0" fillId="33" borderId="180" xfId="1" applyNumberFormat="1" applyFont="1" applyFill="1" applyBorder="1" applyProtection="1">
      <protection hidden="1"/>
    </xf>
    <xf numFmtId="10" fontId="11" fillId="33" borderId="207" xfId="1" applyNumberFormat="1" applyFont="1" applyFill="1" applyBorder="1" applyAlignment="1" applyProtection="1">
      <alignment wrapText="1"/>
      <protection hidden="1"/>
    </xf>
    <xf numFmtId="1" fontId="42" fillId="33" borderId="178" xfId="0" applyNumberFormat="1" applyFont="1" applyFill="1" applyBorder="1" applyProtection="1">
      <protection hidden="1"/>
    </xf>
    <xf numFmtId="10" fontId="42" fillId="33" borderId="177" xfId="1" applyNumberFormat="1" applyFont="1" applyFill="1" applyBorder="1" applyProtection="1">
      <protection hidden="1"/>
    </xf>
    <xf numFmtId="0" fontId="0" fillId="33" borderId="0" xfId="0" applyNumberFormat="1" applyFill="1" applyBorder="1" applyProtection="1">
      <protection hidden="1"/>
    </xf>
    <xf numFmtId="0" fontId="0" fillId="0" borderId="0" xfId="0" applyBorder="1" applyProtection="1">
      <protection hidden="1"/>
    </xf>
    <xf numFmtId="0" fontId="0" fillId="33" borderId="179" xfId="0" applyFill="1" applyBorder="1" applyProtection="1">
      <protection hidden="1"/>
    </xf>
    <xf numFmtId="0" fontId="0" fillId="33" borderId="181" xfId="0" applyFill="1" applyBorder="1" applyProtection="1">
      <protection hidden="1"/>
    </xf>
    <xf numFmtId="9" fontId="0" fillId="0" borderId="0" xfId="1" applyFont="1" applyBorder="1" applyProtection="1">
      <protection hidden="1"/>
    </xf>
    <xf numFmtId="0" fontId="36" fillId="33" borderId="0" xfId="0" applyFont="1" applyFill="1" applyBorder="1" applyProtection="1">
      <protection hidden="1"/>
    </xf>
    <xf numFmtId="0" fontId="0" fillId="33" borderId="240" xfId="0" applyFill="1" applyBorder="1" applyProtection="1">
      <protection hidden="1"/>
    </xf>
    <xf numFmtId="0" fontId="0" fillId="33" borderId="241" xfId="0" applyFill="1" applyBorder="1" applyProtection="1">
      <protection hidden="1"/>
    </xf>
    <xf numFmtId="10" fontId="0" fillId="33" borderId="241" xfId="0" applyNumberFormat="1" applyFill="1" applyBorder="1" applyProtection="1">
      <protection hidden="1"/>
    </xf>
    <xf numFmtId="0" fontId="0" fillId="33" borderId="242" xfId="0" applyFill="1" applyBorder="1" applyProtection="1">
      <protection hidden="1"/>
    </xf>
    <xf numFmtId="0" fontId="55" fillId="30" borderId="0" xfId="0" applyFont="1" applyFill="1" applyProtection="1">
      <protection hidden="1"/>
    </xf>
    <xf numFmtId="0" fontId="184" fillId="30" borderId="0" xfId="0" applyFont="1" applyFill="1" applyProtection="1">
      <protection hidden="1"/>
    </xf>
    <xf numFmtId="44" fontId="5" fillId="28" borderId="0" xfId="0" applyNumberFormat="1" applyFont="1" applyFill="1" applyBorder="1" applyAlignment="1" applyProtection="1">
      <protection hidden="1"/>
    </xf>
    <xf numFmtId="0" fontId="46" fillId="0" borderId="0" xfId="0" applyNumberFormat="1" applyFont="1" applyFill="1" applyAlignment="1" applyProtection="1">
      <alignment horizontal="center" vertical="top" wrapText="1"/>
      <protection locked="0"/>
    </xf>
    <xf numFmtId="167" fontId="46" fillId="0" borderId="0" xfId="0" applyNumberFormat="1" applyFont="1" applyAlignment="1" applyProtection="1">
      <alignment horizontal="center" vertical="top" wrapText="1"/>
      <protection locked="0"/>
    </xf>
    <xf numFmtId="0" fontId="22" fillId="0" borderId="0" xfId="0" applyNumberFormat="1" applyFont="1" applyAlignment="1" applyProtection="1">
      <alignment horizontal="center" vertical="top" wrapText="1"/>
      <protection locked="0"/>
    </xf>
    <xf numFmtId="167" fontId="22" fillId="0" borderId="0" xfId="0" applyNumberFormat="1" applyFont="1" applyAlignment="1" applyProtection="1">
      <alignment horizontal="center" vertical="top" wrapText="1"/>
      <protection locked="0"/>
    </xf>
    <xf numFmtId="175" fontId="46" fillId="0" borderId="0" xfId="1" applyNumberFormat="1" applyFont="1" applyAlignment="1" applyProtection="1">
      <alignment horizontal="center" vertical="top" wrapText="1"/>
      <protection locked="0"/>
    </xf>
    <xf numFmtId="6" fontId="22" fillId="0" borderId="0" xfId="0" applyNumberFormat="1" applyFont="1" applyAlignment="1" applyProtection="1">
      <alignment horizontal="center" vertical="top" wrapText="1"/>
      <protection locked="0"/>
    </xf>
    <xf numFmtId="10" fontId="22" fillId="0" borderId="0" xfId="1" applyNumberFormat="1" applyFont="1" applyAlignment="1" applyProtection="1">
      <alignment horizontal="center" vertical="top" wrapText="1"/>
      <protection locked="0"/>
    </xf>
    <xf numFmtId="14" fontId="22" fillId="0" borderId="0" xfId="1" applyNumberFormat="1" applyFont="1" applyAlignment="1" applyProtection="1">
      <alignment horizontal="center" vertical="top" wrapText="1"/>
      <protection locked="0"/>
    </xf>
    <xf numFmtId="0" fontId="93" fillId="0" borderId="93" xfId="0" applyFont="1" applyFill="1" applyBorder="1" applyAlignment="1" applyProtection="1">
      <alignment horizontal="center" vertical="top"/>
      <protection locked="0"/>
    </xf>
    <xf numFmtId="0" fontId="0" fillId="0" borderId="0" xfId="0" applyFont="1" applyAlignment="1">
      <alignment horizontal="center" vertical="center"/>
    </xf>
    <xf numFmtId="167" fontId="46" fillId="0" borderId="0" xfId="0" applyNumberFormat="1" applyFont="1" applyFill="1" applyAlignment="1" applyProtection="1">
      <alignment horizontal="center" vertical="top" wrapText="1"/>
      <protection locked="0"/>
    </xf>
    <xf numFmtId="167" fontId="22" fillId="0" borderId="0" xfId="1" applyNumberFormat="1" applyFont="1" applyAlignment="1" applyProtection="1">
      <alignment horizontal="center" vertical="top" wrapText="1"/>
      <protection locked="0"/>
    </xf>
    <xf numFmtId="0" fontId="117" fillId="0" borderId="243" xfId="0" applyNumberFormat="1" applyFont="1" applyBorder="1" applyAlignment="1" applyProtection="1">
      <alignment horizontal="left" vertical="top" wrapText="1"/>
      <protection locked="0"/>
    </xf>
    <xf numFmtId="6" fontId="22" fillId="0" borderId="243" xfId="0" applyNumberFormat="1" applyFont="1" applyBorder="1" applyAlignment="1" applyProtection="1">
      <alignment horizontal="center" vertical="top" wrapText="1"/>
      <protection locked="0"/>
    </xf>
    <xf numFmtId="167" fontId="22" fillId="0" borderId="243" xfId="0" applyNumberFormat="1" applyFont="1" applyBorder="1" applyAlignment="1" applyProtection="1">
      <alignment horizontal="center" vertical="top" wrapText="1"/>
      <protection locked="0"/>
    </xf>
    <xf numFmtId="167" fontId="46" fillId="0" borderId="0" xfId="0" applyNumberFormat="1" applyFont="1" applyBorder="1" applyAlignment="1" applyProtection="1">
      <alignment horizontal="center" vertical="top" wrapText="1"/>
      <protection locked="0"/>
    </xf>
    <xf numFmtId="6" fontId="22" fillId="0" borderId="0" xfId="0" applyNumberFormat="1" applyFont="1" applyBorder="1" applyAlignment="1" applyProtection="1">
      <alignment horizontal="center" vertical="top" wrapText="1"/>
      <protection locked="0"/>
    </xf>
    <xf numFmtId="10" fontId="46" fillId="0" borderId="0" xfId="1" applyNumberFormat="1" applyFont="1" applyBorder="1" applyAlignment="1" applyProtection="1">
      <alignment horizontal="center" vertical="top" wrapText="1"/>
      <protection locked="0"/>
    </xf>
    <xf numFmtId="0" fontId="1" fillId="0" borderId="243" xfId="0" applyFont="1" applyBorder="1" applyAlignment="1">
      <alignment vertical="center"/>
    </xf>
    <xf numFmtId="167" fontId="185" fillId="0" borderId="0" xfId="0" applyNumberFormat="1" applyFont="1" applyAlignment="1" applyProtection="1">
      <alignment horizontal="center" vertical="top" wrapText="1"/>
      <protection locked="0"/>
    </xf>
    <xf numFmtId="10" fontId="185" fillId="0" borderId="0" xfId="1" applyNumberFormat="1" applyFont="1" applyBorder="1" applyAlignment="1" applyProtection="1">
      <alignment horizontal="center" wrapText="1"/>
      <protection locked="0"/>
    </xf>
    <xf numFmtId="167" fontId="22" fillId="0" borderId="0" xfId="0" applyNumberFormat="1" applyFont="1" applyBorder="1" applyAlignment="1" applyProtection="1">
      <alignment horizontal="center" vertical="top" wrapText="1"/>
      <protection locked="0"/>
    </xf>
    <xf numFmtId="0" fontId="22" fillId="0" borderId="0" xfId="0" applyNumberFormat="1" applyFont="1" applyBorder="1" applyAlignment="1" applyProtection="1">
      <alignment horizontal="center" vertical="top" wrapText="1"/>
      <protection locked="0"/>
    </xf>
    <xf numFmtId="167" fontId="46" fillId="0" borderId="39" xfId="0" applyNumberFormat="1" applyFont="1" applyBorder="1" applyAlignment="1" applyProtection="1">
      <alignment horizontal="center" vertical="top" wrapText="1"/>
      <protection locked="0"/>
    </xf>
    <xf numFmtId="167" fontId="22" fillId="0" borderId="157" xfId="0" applyNumberFormat="1" applyFont="1" applyBorder="1" applyAlignment="1" applyProtection="1">
      <alignment horizontal="center" vertical="top" wrapText="1"/>
      <protection locked="0"/>
    </xf>
    <xf numFmtId="167" fontId="46" fillId="0" borderId="157" xfId="0" applyNumberFormat="1" applyFont="1" applyBorder="1" applyAlignment="1" applyProtection="1">
      <alignment horizontal="center" vertical="top" wrapText="1"/>
      <protection locked="0"/>
    </xf>
    <xf numFmtId="49" fontId="46" fillId="0" borderId="0" xfId="0" applyNumberFormat="1" applyFont="1" applyFill="1" applyAlignment="1" applyProtection="1">
      <alignment horizontal="center" vertical="top" wrapText="1"/>
      <protection locked="0"/>
    </xf>
    <xf numFmtId="0" fontId="11" fillId="7" borderId="0" xfId="0" applyFont="1" applyFill="1" applyAlignment="1" applyProtection="1">
      <alignment vertical="center"/>
      <protection hidden="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28" fillId="0" borderId="0" xfId="0"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39" fillId="0" borderId="6" xfId="0" applyFont="1" applyFill="1" applyBorder="1" applyAlignment="1" applyProtection="1">
      <alignment horizontal="center" vertical="center"/>
      <protection locked="0"/>
    </xf>
    <xf numFmtId="0" fontId="69" fillId="0" borderId="0" xfId="0" applyFont="1" applyBorder="1" applyAlignment="1">
      <alignment horizontal="right" vertical="center"/>
    </xf>
    <xf numFmtId="0" fontId="186" fillId="0" borderId="0" xfId="0" applyFont="1" applyAlignment="1" applyProtection="1">
      <alignment vertical="center"/>
    </xf>
    <xf numFmtId="0" fontId="186" fillId="0" borderId="0" xfId="0" applyFont="1" applyFill="1" applyAlignment="1">
      <alignment vertical="center"/>
    </xf>
    <xf numFmtId="0" fontId="186" fillId="7" borderId="0" xfId="0" applyFont="1" applyFill="1" applyAlignment="1">
      <alignment vertical="center"/>
    </xf>
    <xf numFmtId="0" fontId="187" fillId="7" borderId="0" xfId="0" applyFont="1" applyFill="1" applyAlignment="1" applyProtection="1">
      <alignment vertical="center"/>
      <protection hidden="1"/>
    </xf>
    <xf numFmtId="0" fontId="186" fillId="7" borderId="0" xfId="0" applyFont="1" applyFill="1" applyAlignment="1" applyProtection="1">
      <alignment vertical="center"/>
      <protection hidden="1"/>
    </xf>
    <xf numFmtId="0" fontId="186" fillId="0" borderId="0" xfId="0" applyFont="1" applyAlignment="1">
      <alignment vertical="center"/>
    </xf>
    <xf numFmtId="0" fontId="188" fillId="0" borderId="0" xfId="0" applyFont="1" applyAlignment="1" applyProtection="1">
      <alignment vertical="center"/>
    </xf>
    <xf numFmtId="0" fontId="69" fillId="0" borderId="14" xfId="0" applyFont="1" applyBorder="1" applyAlignment="1">
      <alignment horizontal="right" vertical="center"/>
    </xf>
    <xf numFmtId="0" fontId="69" fillId="0" borderId="15" xfId="0" applyFont="1" applyBorder="1" applyAlignment="1">
      <alignment horizontal="right" vertical="center"/>
    </xf>
    <xf numFmtId="0" fontId="69" fillId="0" borderId="16" xfId="0" applyFont="1" applyBorder="1" applyAlignment="1">
      <alignment horizontal="right" vertical="center"/>
    </xf>
    <xf numFmtId="0" fontId="42" fillId="0" borderId="5"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53" fillId="7" borderId="0" xfId="0" applyFont="1" applyFill="1" applyAlignment="1">
      <alignment vertical="center"/>
    </xf>
    <xf numFmtId="0" fontId="36" fillId="0" borderId="0" xfId="0" applyFont="1" applyAlignment="1" applyProtection="1">
      <alignment vertical="top"/>
      <protection locked="0"/>
    </xf>
    <xf numFmtId="0" fontId="29" fillId="0" borderId="0" xfId="0" applyFont="1" applyBorder="1" applyAlignment="1" applyProtection="1">
      <alignment vertical="top"/>
      <protection locked="0"/>
    </xf>
    <xf numFmtId="0" fontId="0" fillId="0" borderId="7" xfId="0" applyBorder="1" applyAlignment="1" applyProtection="1">
      <alignment horizontal="center" vertical="center"/>
      <protection locked="0"/>
    </xf>
    <xf numFmtId="0" fontId="1" fillId="0" borderId="13" xfId="0" applyFont="1" applyBorder="1" applyAlignment="1">
      <alignment vertical="center" wrapText="1"/>
    </xf>
    <xf numFmtId="0" fontId="1" fillId="0" borderId="0" xfId="0" applyFont="1" applyBorder="1" applyAlignment="1">
      <alignment vertical="center" wrapText="1"/>
    </xf>
    <xf numFmtId="0" fontId="69" fillId="9" borderId="62" xfId="0" applyFont="1" applyFill="1" applyBorder="1" applyAlignment="1" applyProtection="1">
      <alignment horizontal="center" vertical="center"/>
      <protection locked="0" hidden="1"/>
    </xf>
    <xf numFmtId="0" fontId="162" fillId="0" borderId="12" xfId="0" applyFont="1" applyBorder="1" applyAlignment="1">
      <alignment horizontal="left" vertical="top"/>
    </xf>
    <xf numFmtId="0" fontId="162" fillId="0" borderId="0" xfId="0" applyFont="1" applyBorder="1" applyAlignment="1">
      <alignment horizontal="left" vertical="top"/>
    </xf>
    <xf numFmtId="0" fontId="26" fillId="7" borderId="0" xfId="2" applyFont="1" applyFill="1" applyAlignment="1">
      <alignment vertical="center"/>
    </xf>
    <xf numFmtId="0" fontId="162" fillId="0" borderId="12" xfId="0" applyFont="1" applyBorder="1" applyAlignment="1">
      <alignment vertical="top"/>
    </xf>
    <xf numFmtId="0" fontId="162" fillId="0" borderId="0" xfId="0" applyFont="1" applyBorder="1" applyAlignment="1">
      <alignment vertical="top"/>
    </xf>
    <xf numFmtId="0" fontId="28" fillId="9" borderId="4" xfId="0" applyFont="1" applyFill="1" applyBorder="1" applyAlignment="1" applyProtection="1">
      <alignment horizontal="center" vertical="center"/>
      <protection locked="0"/>
    </xf>
    <xf numFmtId="0" fontId="1" fillId="0" borderId="12" xfId="0" applyFont="1" applyBorder="1" applyAlignment="1">
      <alignment horizontal="left" vertical="center"/>
    </xf>
    <xf numFmtId="0" fontId="1" fillId="0" borderId="0" xfId="0" applyFont="1" applyBorder="1" applyAlignment="1">
      <alignment horizontal="left" vertical="center"/>
    </xf>
    <xf numFmtId="0" fontId="69" fillId="9" borderId="10" xfId="0" applyFont="1" applyFill="1" applyBorder="1" applyAlignment="1" applyProtection="1">
      <alignment horizontal="center" vertical="center"/>
      <protection locked="0" hidden="1"/>
    </xf>
    <xf numFmtId="0" fontId="22" fillId="9" borderId="12" xfId="0" applyFont="1" applyFill="1" applyBorder="1" applyAlignment="1" applyProtection="1">
      <alignment horizontal="center" vertical="center"/>
      <protection locked="0"/>
    </xf>
    <xf numFmtId="0" fontId="22" fillId="9" borderId="14" xfId="0" applyFont="1" applyFill="1" applyBorder="1" applyAlignment="1" applyProtection="1">
      <alignment vertical="center"/>
      <protection locked="0"/>
    </xf>
    <xf numFmtId="0" fontId="22" fillId="9" borderId="15" xfId="0" applyFont="1" applyFill="1" applyBorder="1" applyAlignment="1" applyProtection="1">
      <alignment vertical="center"/>
      <protection locked="0"/>
    </xf>
    <xf numFmtId="0" fontId="28" fillId="0" borderId="8" xfId="0" applyFont="1" applyBorder="1" applyAlignment="1">
      <alignment horizontal="left" vertical="center" wrapText="1"/>
    </xf>
    <xf numFmtId="0" fontId="1" fillId="0" borderId="0" xfId="0" applyFont="1" applyBorder="1" applyAlignment="1" applyProtection="1">
      <alignment vertical="center" wrapText="1"/>
      <protection locked="0"/>
    </xf>
    <xf numFmtId="0" fontId="1" fillId="0" borderId="13" xfId="0" applyFont="1" applyBorder="1" applyAlignment="1" applyProtection="1">
      <alignment vertical="center" wrapText="1"/>
      <protection locked="0"/>
    </xf>
    <xf numFmtId="0" fontId="22" fillId="9" borderId="10" xfId="0" applyFont="1" applyFill="1" applyBorder="1" applyAlignment="1" applyProtection="1">
      <alignment horizontal="left" vertical="center"/>
      <protection locked="0"/>
    </xf>
    <xf numFmtId="0" fontId="22" fillId="0" borderId="0" xfId="0" applyFont="1" applyBorder="1" applyAlignment="1">
      <alignment vertical="center"/>
    </xf>
    <xf numFmtId="0" fontId="28" fillId="0" borderId="0" xfId="0" applyFont="1" applyBorder="1" applyAlignment="1">
      <alignment vertical="center"/>
    </xf>
    <xf numFmtId="0" fontId="46" fillId="0" borderId="12" xfId="0" applyFont="1" applyBorder="1" applyAlignment="1">
      <alignment vertical="center"/>
    </xf>
    <xf numFmtId="0" fontId="46" fillId="0" borderId="0" xfId="0" applyFont="1" applyBorder="1" applyAlignment="1">
      <alignment vertical="center"/>
    </xf>
    <xf numFmtId="0" fontId="22" fillId="0" borderId="13" xfId="0" applyFont="1" applyBorder="1" applyAlignment="1">
      <alignment vertical="center"/>
    </xf>
    <xf numFmtId="0" fontId="1" fillId="0" borderId="13" xfId="0" applyFont="1" applyBorder="1" applyAlignment="1" applyProtection="1">
      <alignment vertical="center"/>
      <protection locked="0"/>
    </xf>
    <xf numFmtId="0" fontId="28" fillId="0" borderId="0" xfId="0" applyFont="1" applyBorder="1" applyAlignment="1" applyProtection="1">
      <alignment vertical="center"/>
      <protection locked="0"/>
    </xf>
    <xf numFmtId="0" fontId="11" fillId="7" borderId="0" xfId="0" applyFont="1" applyFill="1" applyAlignment="1" applyProtection="1">
      <alignment vertical="center"/>
      <protection hidden="1"/>
    </xf>
    <xf numFmtId="0" fontId="1" fillId="8" borderId="0" xfId="0" applyFont="1" applyFill="1" applyBorder="1" applyAlignment="1">
      <alignment horizontal="left" vertical="center"/>
    </xf>
    <xf numFmtId="0" fontId="11" fillId="0" borderId="0" xfId="0" applyFont="1" applyAlignment="1">
      <alignment horizontal="left" vertical="top"/>
    </xf>
    <xf numFmtId="0" fontId="0" fillId="0" borderId="12" xfId="0" applyBorder="1" applyAlignment="1">
      <alignment vertical="center" wrapText="1"/>
    </xf>
    <xf numFmtId="0" fontId="39" fillId="0" borderId="0" xfId="0" applyFont="1" applyFill="1" applyBorder="1" applyAlignment="1">
      <alignment horizontal="right" vertical="center"/>
    </xf>
    <xf numFmtId="0" fontId="36" fillId="0" borderId="0" xfId="0" applyFont="1" applyAlignment="1" applyProtection="1">
      <alignment horizontal="left" vertical="center"/>
      <protection hidden="1"/>
    </xf>
    <xf numFmtId="0" fontId="193" fillId="0" borderId="0" xfId="0" applyFont="1" applyAlignment="1">
      <alignment vertical="center"/>
    </xf>
    <xf numFmtId="0" fontId="1" fillId="0" borderId="0" xfId="0" applyFont="1" applyBorder="1" applyAlignment="1">
      <alignment horizontal="center" vertical="center" wrapText="1"/>
    </xf>
    <xf numFmtId="0" fontId="1" fillId="0" borderId="13" xfId="0" applyFont="1" applyBorder="1" applyAlignment="1">
      <alignment horizontal="center" vertical="center" wrapText="1"/>
    </xf>
    <xf numFmtId="0" fontId="22" fillId="0" borderId="12" xfId="0" applyFont="1" applyBorder="1" applyAlignment="1" applyProtection="1">
      <alignment horizontal="center" vertical="center"/>
      <protection hidden="1"/>
    </xf>
    <xf numFmtId="0" fontId="22" fillId="0" borderId="12" xfId="0" applyFont="1" applyBorder="1" applyAlignment="1">
      <alignment horizontal="center" vertical="center" wrapText="1"/>
    </xf>
    <xf numFmtId="0" fontId="36" fillId="7" borderId="39" xfId="0" applyFont="1" applyFill="1" applyBorder="1" applyAlignment="1" applyProtection="1">
      <alignment vertical="center"/>
      <protection hidden="1"/>
    </xf>
    <xf numFmtId="0" fontId="11" fillId="7" borderId="0" xfId="0" applyFont="1" applyFill="1" applyAlignment="1" applyProtection="1">
      <alignment vertical="center"/>
      <protection hidden="1"/>
    </xf>
    <xf numFmtId="0" fontId="10" fillId="8" borderId="0" xfId="0" applyFont="1" applyFill="1" applyBorder="1" applyAlignment="1">
      <alignment horizontal="left" vertical="center"/>
    </xf>
    <xf numFmtId="0" fontId="1" fillId="8" borderId="0" xfId="0" applyFont="1" applyFill="1" applyBorder="1" applyAlignment="1">
      <alignment horizontal="left" vertical="center"/>
    </xf>
    <xf numFmtId="0" fontId="120" fillId="0" borderId="3" xfId="0" applyFont="1" applyBorder="1" applyAlignment="1" applyProtection="1"/>
    <xf numFmtId="0" fontId="10" fillId="9" borderId="0" xfId="0" applyFont="1" applyFill="1" applyBorder="1" applyAlignment="1" applyProtection="1">
      <alignment vertical="center"/>
    </xf>
    <xf numFmtId="0" fontId="1" fillId="9" borderId="0" xfId="0" applyFont="1" applyFill="1" applyBorder="1" applyAlignment="1" applyProtection="1">
      <alignment vertical="center"/>
    </xf>
    <xf numFmtId="0" fontId="0" fillId="7" borderId="147" xfId="0" applyFill="1" applyBorder="1" applyAlignment="1"/>
    <xf numFmtId="0" fontId="74" fillId="0" borderId="0" xfId="0" applyFont="1" applyAlignment="1" applyProtection="1">
      <alignment vertical="center"/>
    </xf>
    <xf numFmtId="0" fontId="0" fillId="7" borderId="160" xfId="0" applyFill="1" applyBorder="1" applyAlignment="1">
      <alignment horizontal="center"/>
    </xf>
    <xf numFmtId="0" fontId="120" fillId="0" borderId="0" xfId="0" applyFont="1" applyBorder="1" applyAlignment="1" applyProtection="1">
      <alignment horizontal="left" vertical="center" wrapText="1"/>
    </xf>
    <xf numFmtId="0" fontId="120" fillId="0" borderId="0" xfId="0" applyFont="1" applyBorder="1" applyAlignment="1" applyProtection="1"/>
    <xf numFmtId="0" fontId="0" fillId="7" borderId="245" xfId="0" applyNumberFormat="1" applyFill="1" applyBorder="1" applyAlignment="1"/>
    <xf numFmtId="6" fontId="0" fillId="7" borderId="163" xfId="0" applyNumberFormat="1" applyFill="1" applyBorder="1" applyAlignment="1"/>
    <xf numFmtId="167" fontId="0" fillId="7" borderId="160" xfId="0" applyNumberFormat="1" applyFill="1" applyBorder="1" applyAlignment="1">
      <alignment horizontal="center"/>
    </xf>
    <xf numFmtId="0" fontId="1" fillId="9" borderId="0" xfId="0" applyFont="1" applyFill="1" applyBorder="1" applyAlignment="1" applyProtection="1">
      <alignment horizontal="left" vertical="center" wrapText="1"/>
    </xf>
    <xf numFmtId="167" fontId="195" fillId="0" borderId="0" xfId="0" applyNumberFormat="1" applyFont="1" applyBorder="1" applyAlignment="1" applyProtection="1">
      <alignment vertical="center" wrapText="1"/>
    </xf>
    <xf numFmtId="0" fontId="130" fillId="0" borderId="26" xfId="0" applyFont="1" applyBorder="1" applyAlignment="1" applyProtection="1"/>
    <xf numFmtId="0" fontId="1" fillId="9" borderId="0" xfId="0" applyFont="1" applyFill="1" applyBorder="1" applyAlignment="1" applyProtection="1">
      <alignment vertical="center" wrapText="1"/>
    </xf>
    <xf numFmtId="0" fontId="11" fillId="9" borderId="0" xfId="0" applyFont="1" applyFill="1" applyBorder="1" applyAlignment="1" applyProtection="1"/>
    <xf numFmtId="0" fontId="2" fillId="0" borderId="0" xfId="0" applyFont="1" applyBorder="1" applyAlignment="1" applyProtection="1">
      <alignment horizontal="left" vertical="center" wrapText="1"/>
    </xf>
    <xf numFmtId="0" fontId="5" fillId="7" borderId="245" xfId="0" applyFont="1" applyFill="1" applyBorder="1" applyAlignment="1">
      <alignment horizontal="left"/>
    </xf>
    <xf numFmtId="0" fontId="5" fillId="7" borderId="164" xfId="0" applyFont="1" applyFill="1" applyBorder="1" applyAlignment="1">
      <alignment horizontal="left"/>
    </xf>
    <xf numFmtId="0" fontId="5" fillId="7" borderId="163" xfId="0" applyFont="1" applyFill="1" applyBorder="1" applyAlignment="1">
      <alignment horizontal="left"/>
    </xf>
    <xf numFmtId="0" fontId="31" fillId="0" borderId="0" xfId="0" applyFont="1" applyBorder="1" applyAlignment="1" applyProtection="1">
      <alignment vertical="center" wrapText="1"/>
    </xf>
    <xf numFmtId="0" fontId="5" fillId="7" borderId="160" xfId="0" applyFont="1" applyFill="1" applyBorder="1" applyAlignment="1">
      <alignment horizontal="center"/>
    </xf>
    <xf numFmtId="167" fontId="5" fillId="7" borderId="160" xfId="0" applyNumberFormat="1" applyFont="1" applyFill="1" applyBorder="1" applyAlignment="1">
      <alignment horizontal="center"/>
    </xf>
    <xf numFmtId="167" fontId="0" fillId="7" borderId="160" xfId="3" applyNumberFormat="1" applyFont="1" applyFill="1" applyBorder="1" applyAlignment="1">
      <alignment horizontal="center"/>
    </xf>
    <xf numFmtId="164" fontId="0" fillId="7" borderId="160" xfId="0" applyNumberFormat="1" applyFill="1" applyBorder="1" applyAlignment="1">
      <alignment horizontal="center"/>
    </xf>
    <xf numFmtId="0" fontId="124" fillId="0" borderId="0" xfId="0" applyFont="1" applyFill="1" applyBorder="1" applyAlignment="1" applyProtection="1">
      <alignment vertical="center" wrapText="1"/>
    </xf>
    <xf numFmtId="0" fontId="1" fillId="0" borderId="0" xfId="0" applyFont="1" applyFill="1" applyBorder="1" applyAlignment="1" applyProtection="1">
      <alignment vertical="center"/>
    </xf>
    <xf numFmtId="6" fontId="1" fillId="9" borderId="0" xfId="0" applyNumberFormat="1" applyFont="1" applyFill="1" applyBorder="1" applyAlignment="1" applyProtection="1">
      <alignment vertical="center"/>
    </xf>
    <xf numFmtId="164" fontId="0" fillId="7" borderId="160" xfId="1" applyNumberFormat="1" applyFont="1" applyFill="1" applyBorder="1" applyAlignment="1">
      <alignment horizontal="center"/>
    </xf>
    <xf numFmtId="167" fontId="0" fillId="7" borderId="164" xfId="3" applyNumberFormat="1" applyFont="1" applyFill="1" applyBorder="1" applyAlignment="1">
      <alignment horizontal="center"/>
    </xf>
    <xf numFmtId="164" fontId="0" fillId="7" borderId="164" xfId="1" applyNumberFormat="1" applyFont="1" applyFill="1" applyBorder="1" applyAlignment="1">
      <alignment horizontal="center"/>
    </xf>
    <xf numFmtId="167" fontId="5" fillId="7" borderId="164" xfId="0" applyNumberFormat="1" applyFont="1" applyFill="1" applyBorder="1" applyAlignment="1">
      <alignment horizontal="center"/>
    </xf>
    <xf numFmtId="0" fontId="0" fillId="0" borderId="0" xfId="0" applyFill="1" applyBorder="1" applyAlignment="1" applyProtection="1">
      <alignment vertical="center"/>
    </xf>
    <xf numFmtId="0" fontId="1" fillId="9" borderId="0" xfId="0" applyFont="1" applyFill="1" applyBorder="1" applyAlignment="1" applyProtection="1">
      <alignment horizontal="left" vertical="center"/>
    </xf>
    <xf numFmtId="164" fontId="107" fillId="0" borderId="131" xfId="1" applyNumberFormat="1" applyFont="1" applyBorder="1" applyAlignment="1"/>
    <xf numFmtId="6" fontId="69" fillId="9" borderId="0" xfId="0" applyNumberFormat="1" applyFont="1" applyFill="1" applyBorder="1" applyAlignment="1" applyProtection="1">
      <alignment vertical="center"/>
    </xf>
    <xf numFmtId="0" fontId="0" fillId="0" borderId="0" xfId="0" applyNumberFormat="1" applyFill="1" applyBorder="1" applyAlignment="1"/>
    <xf numFmtId="6" fontId="0" fillId="0" borderId="0" xfId="0" applyNumberFormat="1" applyFill="1" applyBorder="1" applyAlignment="1"/>
    <xf numFmtId="167" fontId="0" fillId="0" borderId="0" xfId="0" applyNumberFormat="1" applyFill="1" applyBorder="1" applyAlignment="1">
      <alignment horizontal="center"/>
    </xf>
    <xf numFmtId="6" fontId="69" fillId="9" borderId="0" xfId="0" applyNumberFormat="1" applyFont="1" applyFill="1" applyBorder="1" applyAlignment="1" applyProtection="1">
      <alignment horizontal="left" vertical="center"/>
    </xf>
    <xf numFmtId="6" fontId="1" fillId="9" borderId="0" xfId="0" applyNumberFormat="1" applyFont="1" applyFill="1" applyBorder="1" applyAlignment="1" applyProtection="1">
      <alignment horizontal="right" vertical="center"/>
    </xf>
    <xf numFmtId="0" fontId="74" fillId="9" borderId="0" xfId="0" applyFont="1" applyFill="1" applyBorder="1" applyAlignment="1" applyProtection="1"/>
    <xf numFmtId="0" fontId="0" fillId="9" borderId="0" xfId="0" applyFont="1" applyFill="1" applyBorder="1" applyAlignment="1" applyProtection="1">
      <alignment vertical="center"/>
    </xf>
    <xf numFmtId="0" fontId="5" fillId="0" borderId="0" xfId="0" applyFont="1" applyFill="1" applyBorder="1" applyAlignment="1">
      <alignment horizontal="center"/>
    </xf>
    <xf numFmtId="167" fontId="5" fillId="0" borderId="0" xfId="0" applyNumberFormat="1" applyFont="1" applyFill="1" applyBorder="1" applyAlignment="1">
      <alignment horizontal="center"/>
    </xf>
    <xf numFmtId="167" fontId="0" fillId="0" borderId="0" xfId="3" applyNumberFormat="1" applyFont="1" applyFill="1" applyBorder="1" applyAlignment="1">
      <alignment horizontal="center"/>
    </xf>
    <xf numFmtId="164" fontId="0" fillId="0" borderId="0" xfId="0" applyNumberFormat="1" applyFill="1" applyBorder="1" applyAlignment="1">
      <alignment horizontal="center"/>
    </xf>
    <xf numFmtId="0" fontId="120" fillId="0" borderId="26" xfId="0" applyFont="1" applyBorder="1" applyAlignment="1" applyProtection="1">
      <alignment horizontal="left"/>
    </xf>
    <xf numFmtId="6" fontId="28" fillId="9" borderId="0" xfId="0" applyNumberFormat="1" applyFont="1" applyFill="1" applyBorder="1" applyAlignment="1" applyProtection="1">
      <alignment vertical="center"/>
    </xf>
    <xf numFmtId="1" fontId="22" fillId="0" borderId="0" xfId="0" applyNumberFormat="1" applyFont="1" applyFill="1" applyBorder="1" applyAlignment="1" applyProtection="1">
      <alignment vertical="center"/>
      <protection locked="0"/>
    </xf>
    <xf numFmtId="6" fontId="69" fillId="0" borderId="0" xfId="0" applyNumberFormat="1" applyFont="1" applyFill="1" applyBorder="1" applyAlignment="1" applyProtection="1">
      <alignment vertical="center"/>
    </xf>
    <xf numFmtId="0" fontId="120" fillId="0" borderId="26" xfId="0" applyFont="1" applyFill="1" applyBorder="1" applyAlignment="1" applyProtection="1">
      <alignment horizontal="left"/>
    </xf>
    <xf numFmtId="0" fontId="120" fillId="0" borderId="0" xfId="0" applyFont="1" applyFill="1" applyBorder="1" applyAlignment="1" applyProtection="1">
      <alignment horizontal="left"/>
    </xf>
    <xf numFmtId="14" fontId="1" fillId="9" borderId="0" xfId="0" applyNumberFormat="1" applyFont="1" applyFill="1" applyBorder="1" applyAlignment="1" applyProtection="1">
      <alignment horizontal="left" vertical="center"/>
    </xf>
    <xf numFmtId="6" fontId="1" fillId="9" borderId="0" xfId="0" applyNumberFormat="1" applyFont="1" applyFill="1" applyBorder="1" applyAlignment="1" applyProtection="1">
      <alignment horizontal="left" vertical="center"/>
    </xf>
    <xf numFmtId="0" fontId="76" fillId="0" borderId="55" xfId="0" applyFont="1" applyBorder="1" applyAlignment="1">
      <alignment vertical="center"/>
    </xf>
    <xf numFmtId="0" fontId="199" fillId="0" borderId="0" xfId="0" applyFont="1" applyAlignment="1">
      <alignment horizontal="left" vertical="top"/>
    </xf>
    <xf numFmtId="0" fontId="76" fillId="0" borderId="0" xfId="0" applyFont="1" applyAlignment="1">
      <alignment horizontal="left"/>
    </xf>
    <xf numFmtId="0" fontId="76" fillId="0" borderId="0" xfId="0" applyFont="1"/>
    <xf numFmtId="0" fontId="200" fillId="0" borderId="0" xfId="0" applyFont="1"/>
    <xf numFmtId="0" fontId="199" fillId="0" borderId="0" xfId="0" applyFont="1"/>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9" xfId="0" applyBorder="1" applyAlignment="1">
      <alignment horizontal="left" vertical="top" wrapText="1"/>
    </xf>
    <xf numFmtId="14" fontId="29" fillId="0" borderId="10" xfId="0" applyNumberFormat="1" applyFont="1" applyBorder="1" applyAlignment="1">
      <alignment horizontal="left" vertical="top" wrapText="1"/>
    </xf>
    <xf numFmtId="0" fontId="193" fillId="0" borderId="10" xfId="0" applyFont="1" applyBorder="1" applyAlignment="1">
      <alignment horizontal="left" vertical="top" wrapText="1"/>
    </xf>
    <xf numFmtId="0" fontId="29" fillId="0" borderId="10"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0" xfId="0" applyFill="1" applyAlignment="1" applyProtection="1">
      <alignment horizontal="left" vertical="center"/>
      <protection hidden="1"/>
    </xf>
    <xf numFmtId="0" fontId="124" fillId="0" borderId="0" xfId="0" applyFont="1" applyFill="1" applyBorder="1" applyAlignment="1">
      <alignment vertical="center"/>
    </xf>
    <xf numFmtId="0" fontId="1" fillId="0" borderId="0" xfId="0" applyFont="1" applyFill="1" applyAlignment="1">
      <alignment vertical="center"/>
    </xf>
    <xf numFmtId="6" fontId="1" fillId="0" borderId="0" xfId="0" applyNumberFormat="1" applyFont="1" applyFill="1" applyBorder="1" applyAlignment="1" applyProtection="1">
      <alignment vertical="center"/>
      <protection locked="0"/>
    </xf>
    <xf numFmtId="0" fontId="21" fillId="0" borderId="0" xfId="0" applyFont="1" applyFill="1" applyBorder="1" applyAlignment="1">
      <alignment vertical="center"/>
    </xf>
    <xf numFmtId="0" fontId="96" fillId="7" borderId="0" xfId="0" applyFont="1" applyFill="1" applyAlignment="1">
      <alignment vertical="center"/>
    </xf>
    <xf numFmtId="0" fontId="117" fillId="0" borderId="0" xfId="0" applyFont="1" applyFill="1" applyBorder="1" applyAlignment="1">
      <alignment horizontal="left" vertical="center" wrapText="1"/>
    </xf>
    <xf numFmtId="0" fontId="1" fillId="0" borderId="0" xfId="0" applyFont="1" applyFill="1" applyBorder="1" applyAlignment="1" applyProtection="1">
      <alignment horizontal="left" vertical="center"/>
      <protection locked="0"/>
    </xf>
    <xf numFmtId="0" fontId="94" fillId="0" borderId="0" xfId="0" applyFont="1" applyFill="1" applyBorder="1" applyAlignment="1" applyProtection="1">
      <alignment vertical="center" wrapText="1"/>
      <protection locked="0"/>
    </xf>
    <xf numFmtId="0" fontId="63" fillId="0" borderId="0" xfId="0" applyFont="1" applyFill="1" applyBorder="1" applyAlignment="1">
      <alignment horizontal="left" vertical="center"/>
    </xf>
    <xf numFmtId="0" fontId="94" fillId="0" borderId="10" xfId="0" applyFont="1" applyFill="1" applyBorder="1" applyAlignment="1" applyProtection="1">
      <alignment vertical="center" wrapText="1"/>
      <protection locked="0"/>
    </xf>
    <xf numFmtId="0" fontId="118" fillId="0" borderId="0" xfId="0" applyFont="1" applyFill="1" applyBorder="1" applyAlignment="1">
      <alignment wrapText="1"/>
    </xf>
    <xf numFmtId="0" fontId="118" fillId="0" borderId="15" xfId="0" applyFont="1" applyFill="1" applyBorder="1" applyAlignment="1" applyProtection="1">
      <alignment wrapText="1"/>
      <protection locked="0"/>
    </xf>
    <xf numFmtId="6" fontId="69" fillId="0" borderId="0" xfId="0" applyNumberFormat="1" applyFont="1" applyFill="1" applyBorder="1" applyAlignment="1" applyProtection="1">
      <alignment horizontal="left" vertical="center"/>
    </xf>
    <xf numFmtId="0" fontId="120" fillId="2" borderId="15" xfId="0" applyFont="1" applyFill="1" applyBorder="1" applyAlignment="1" applyProtection="1">
      <alignment wrapText="1"/>
    </xf>
    <xf numFmtId="0" fontId="81" fillId="5" borderId="10" xfId="0" applyFont="1" applyFill="1" applyBorder="1" applyAlignment="1" applyProtection="1">
      <alignment vertical="center"/>
    </xf>
    <xf numFmtId="0" fontId="81" fillId="0" borderId="0" xfId="0" applyFont="1" applyAlignment="1" applyProtection="1">
      <alignment vertical="center"/>
    </xf>
    <xf numFmtId="0" fontId="81" fillId="7" borderId="0" xfId="0" applyFont="1" applyFill="1" applyAlignment="1" applyProtection="1">
      <alignment vertical="center"/>
    </xf>
    <xf numFmtId="0" fontId="114" fillId="2" borderId="0" xfId="0" applyFont="1" applyFill="1" applyBorder="1" applyAlignment="1" applyProtection="1">
      <alignment horizontal="center" wrapText="1"/>
    </xf>
    <xf numFmtId="0" fontId="20" fillId="7" borderId="0" xfId="0" applyFont="1" applyFill="1" applyAlignment="1" applyProtection="1">
      <alignment vertical="center"/>
    </xf>
    <xf numFmtId="167" fontId="20" fillId="7" borderId="0" xfId="0" applyNumberFormat="1" applyFont="1" applyFill="1" applyAlignment="1" applyProtection="1">
      <alignment vertical="center"/>
    </xf>
    <xf numFmtId="0" fontId="118" fillId="0" borderId="0" xfId="0" applyFont="1" applyFill="1" applyBorder="1" applyAlignment="1" applyProtection="1">
      <alignment wrapText="1"/>
      <protection locked="0"/>
    </xf>
    <xf numFmtId="0" fontId="20" fillId="0" borderId="0" xfId="0" applyFont="1" applyFill="1" applyBorder="1" applyAlignment="1">
      <alignment vertical="top" wrapText="1"/>
    </xf>
    <xf numFmtId="0" fontId="5" fillId="5" borderId="13" xfId="0" applyFont="1" applyFill="1" applyBorder="1" applyAlignment="1"/>
    <xf numFmtId="0" fontId="0" fillId="9" borderId="0" xfId="0" applyFill="1" applyAlignment="1">
      <alignment vertical="center"/>
    </xf>
    <xf numFmtId="0" fontId="22" fillId="8" borderId="13" xfId="0" applyFont="1" applyFill="1" applyBorder="1" applyAlignment="1">
      <alignment vertical="center"/>
    </xf>
    <xf numFmtId="0" fontId="46" fillId="8" borderId="7" xfId="0" applyFont="1" applyFill="1" applyBorder="1" applyAlignment="1" applyProtection="1">
      <alignment horizontal="center"/>
      <protection hidden="1"/>
    </xf>
    <xf numFmtId="0" fontId="46" fillId="8" borderId="5" xfId="0" applyFont="1" applyFill="1" applyBorder="1" applyAlignment="1" applyProtection="1">
      <alignment horizontal="center"/>
      <protection hidden="1"/>
    </xf>
    <xf numFmtId="0" fontId="46" fillId="8" borderId="5" xfId="0" applyFont="1" applyFill="1" applyBorder="1" applyAlignment="1">
      <alignment vertical="center"/>
    </xf>
    <xf numFmtId="0" fontId="71" fillId="0" borderId="0" xfId="0" applyFont="1" applyAlignment="1" applyProtection="1">
      <alignment vertical="top"/>
    </xf>
    <xf numFmtId="0" fontId="176" fillId="9" borderId="8" xfId="0" applyFont="1" applyFill="1" applyBorder="1" applyAlignment="1" applyProtection="1">
      <alignment horizontal="center" vertical="center"/>
    </xf>
    <xf numFmtId="0" fontId="185" fillId="9" borderId="8" xfId="0" applyFont="1" applyFill="1" applyBorder="1" applyAlignment="1" applyProtection="1">
      <alignment horizontal="center" vertical="center"/>
    </xf>
    <xf numFmtId="0" fontId="29" fillId="7" borderId="0" xfId="0" applyFont="1" applyFill="1" applyAlignment="1">
      <alignment vertical="center"/>
    </xf>
    <xf numFmtId="167" fontId="185" fillId="8" borderId="4" xfId="0" applyNumberFormat="1" applyFont="1" applyFill="1" applyBorder="1" applyAlignment="1" applyProtection="1">
      <alignment horizontal="center" vertical="center"/>
    </xf>
    <xf numFmtId="0" fontId="36" fillId="0" borderId="9" xfId="0" applyFont="1" applyFill="1" applyBorder="1" applyAlignment="1">
      <alignment vertical="center"/>
    </xf>
    <xf numFmtId="0" fontId="36" fillId="0" borderId="10" xfId="0" applyFont="1" applyFill="1" applyBorder="1" applyAlignment="1">
      <alignment vertical="center"/>
    </xf>
    <xf numFmtId="0" fontId="36" fillId="0" borderId="11" xfId="0" applyFont="1" applyFill="1" applyBorder="1" applyAlignment="1">
      <alignment vertical="center"/>
    </xf>
    <xf numFmtId="167" fontId="36" fillId="7" borderId="0" xfId="3" applyNumberFormat="1" applyFont="1" applyFill="1" applyAlignment="1">
      <alignment horizontal="left" vertical="center"/>
    </xf>
    <xf numFmtId="6" fontId="36" fillId="7" borderId="0" xfId="0" applyNumberFormat="1" applyFont="1" applyFill="1" applyAlignment="1" applyProtection="1">
      <alignment horizontal="left" vertical="center"/>
      <protection hidden="1"/>
    </xf>
    <xf numFmtId="0" fontId="36" fillId="7" borderId="0" xfId="0" applyFont="1" applyFill="1" applyAlignment="1" applyProtection="1">
      <alignment horizontal="left" vertical="center"/>
      <protection hidden="1"/>
    </xf>
    <xf numFmtId="0" fontId="36" fillId="8" borderId="12" xfId="0" applyFont="1" applyFill="1" applyBorder="1" applyAlignment="1">
      <alignment vertical="center"/>
    </xf>
    <xf numFmtId="0" fontId="36" fillId="8" borderId="0" xfId="0" applyFont="1" applyFill="1" applyBorder="1" applyAlignment="1">
      <alignment vertical="center"/>
    </xf>
    <xf numFmtId="0" fontId="36" fillId="8" borderId="13" xfId="0" applyFont="1" applyFill="1" applyBorder="1" applyAlignment="1">
      <alignment vertical="center"/>
    </xf>
    <xf numFmtId="0" fontId="36" fillId="0" borderId="14" xfId="0" applyFont="1" applyFill="1" applyBorder="1" applyAlignment="1">
      <alignment vertical="center"/>
    </xf>
    <xf numFmtId="0" fontId="36" fillId="0" borderId="15" xfId="0" applyFont="1" applyFill="1" applyBorder="1" applyAlignment="1">
      <alignment vertical="center"/>
    </xf>
    <xf numFmtId="0" fontId="36" fillId="0" borderId="16" xfId="0" applyFont="1" applyFill="1" applyBorder="1" applyAlignment="1">
      <alignment vertical="center"/>
    </xf>
    <xf numFmtId="14" fontId="36" fillId="9" borderId="4" xfId="0" applyNumberFormat="1" applyFont="1" applyFill="1" applyBorder="1" applyAlignment="1">
      <alignment horizontal="center" vertical="center"/>
    </xf>
    <xf numFmtId="1" fontId="36" fillId="9" borderId="4" xfId="0" applyNumberFormat="1" applyFont="1" applyFill="1" applyBorder="1" applyAlignment="1">
      <alignment horizontal="center" vertical="center"/>
    </xf>
    <xf numFmtId="6" fontId="36" fillId="9" borderId="4" xfId="0" applyNumberFormat="1" applyFont="1" applyFill="1" applyBorder="1" applyAlignment="1">
      <alignment horizontal="center" vertical="center"/>
    </xf>
    <xf numFmtId="10" fontId="36" fillId="9" borderId="4" xfId="0" applyNumberFormat="1" applyFont="1" applyFill="1" applyBorder="1" applyAlignment="1">
      <alignment horizontal="center" vertical="center"/>
    </xf>
    <xf numFmtId="10" fontId="36" fillId="9" borderId="63" xfId="0" applyNumberFormat="1" applyFont="1" applyFill="1" applyBorder="1" applyAlignment="1">
      <alignment horizontal="center" vertical="top"/>
    </xf>
    <xf numFmtId="0" fontId="176" fillId="9" borderId="62" xfId="0" applyFont="1" applyFill="1" applyBorder="1" applyAlignment="1" applyProtection="1">
      <alignment horizontal="center"/>
    </xf>
    <xf numFmtId="0" fontId="185" fillId="9" borderId="62" xfId="0" applyFont="1" applyFill="1" applyBorder="1" applyAlignment="1" applyProtection="1">
      <alignment horizontal="center"/>
    </xf>
    <xf numFmtId="14" fontId="1" fillId="8" borderId="6" xfId="0" applyNumberFormat="1" applyFont="1" applyFill="1" applyBorder="1" applyAlignment="1" applyProtection="1">
      <alignment horizontal="left" vertical="center"/>
      <protection locked="0"/>
    </xf>
    <xf numFmtId="14" fontId="1" fillId="8" borderId="7" xfId="0" applyNumberFormat="1" applyFont="1" applyFill="1" applyBorder="1" applyAlignment="1" applyProtection="1">
      <alignment horizontal="left" vertical="center"/>
      <protection locked="0"/>
    </xf>
    <xf numFmtId="14" fontId="1" fillId="8" borderId="5" xfId="0" applyNumberFormat="1" applyFont="1" applyFill="1" applyBorder="1" applyAlignment="1" applyProtection="1">
      <alignment horizontal="left" vertical="center"/>
      <protection locked="0"/>
    </xf>
    <xf numFmtId="167" fontId="78" fillId="0" borderId="0" xfId="0" applyNumberFormat="1" applyFont="1" applyBorder="1" applyAlignment="1" applyProtection="1">
      <alignment horizontal="right" vertical="center" wrapText="1"/>
    </xf>
    <xf numFmtId="0" fontId="117" fillId="0" borderId="2" xfId="0" applyFont="1" applyBorder="1" applyAlignment="1" applyProtection="1">
      <alignment horizontal="left" vertical="center" wrapText="1"/>
    </xf>
    <xf numFmtId="14" fontId="1" fillId="8" borderId="0" xfId="0" applyNumberFormat="1" applyFont="1" applyFill="1" applyBorder="1" applyAlignment="1" applyProtection="1">
      <alignment horizontal="left" vertical="center"/>
      <protection locked="0"/>
    </xf>
    <xf numFmtId="0" fontId="24" fillId="0" borderId="0" xfId="0" applyFont="1" applyBorder="1" applyAlignment="1" applyProtection="1">
      <alignment horizontal="left" vertical="center"/>
    </xf>
    <xf numFmtId="0" fontId="172" fillId="2" borderId="146" xfId="0" applyFont="1" applyFill="1" applyBorder="1" applyAlignment="1" applyProtection="1">
      <alignment horizontal="left" vertical="center"/>
    </xf>
    <xf numFmtId="0" fontId="153" fillId="2" borderId="146" xfId="0" applyFont="1" applyFill="1" applyBorder="1" applyAlignment="1" applyProtection="1">
      <alignment horizontal="center"/>
    </xf>
    <xf numFmtId="0" fontId="152" fillId="2" borderId="146" xfId="0" applyFont="1" applyFill="1" applyBorder="1" applyAlignment="1" applyProtection="1">
      <alignment horizontal="left"/>
      <protection locked="0"/>
    </xf>
    <xf numFmtId="0" fontId="42" fillId="0" borderId="0" xfId="0" applyFont="1" applyBorder="1" applyAlignment="1" applyProtection="1">
      <alignment horizontal="left" vertical="center"/>
    </xf>
    <xf numFmtId="0" fontId="142" fillId="2" borderId="146" xfId="0" applyFont="1" applyFill="1" applyBorder="1" applyAlignment="1" applyProtection="1">
      <alignment horizontal="left" vertical="center"/>
    </xf>
    <xf numFmtId="0" fontId="168" fillId="34" borderId="0" xfId="0" applyFont="1" applyFill="1" applyBorder="1" applyAlignment="1" applyProtection="1">
      <alignment horizontal="center" wrapText="1"/>
    </xf>
    <xf numFmtId="0" fontId="189" fillId="34" borderId="0" xfId="0" applyFont="1" applyFill="1" applyBorder="1" applyAlignment="1" applyProtection="1">
      <alignment horizontal="center" vertical="top" wrapText="1"/>
    </xf>
    <xf numFmtId="0" fontId="117" fillId="0" borderId="0" xfId="0" applyFont="1" applyBorder="1" applyAlignment="1">
      <alignment horizontal="left" vertical="center" wrapText="1"/>
    </xf>
    <xf numFmtId="0" fontId="117" fillId="0" borderId="13" xfId="0" applyFont="1" applyBorder="1" applyAlignment="1">
      <alignment horizontal="left" vertical="center" wrapText="1"/>
    </xf>
    <xf numFmtId="14" fontId="1" fillId="8" borderId="6" xfId="0" applyNumberFormat="1" applyFont="1" applyFill="1" applyBorder="1" applyAlignment="1" applyProtection="1">
      <alignment horizontal="center" vertical="center"/>
      <protection locked="0"/>
    </xf>
    <xf numFmtId="14" fontId="1" fillId="8" borderId="7" xfId="0" applyNumberFormat="1" applyFont="1" applyFill="1" applyBorder="1" applyAlignment="1" applyProtection="1">
      <alignment horizontal="center" vertical="center"/>
      <protection locked="0"/>
    </xf>
    <xf numFmtId="14" fontId="1" fillId="8" borderId="5" xfId="0" applyNumberFormat="1"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8" borderId="7"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18" fillId="0" borderId="15" xfId="0" applyFont="1" applyBorder="1" applyAlignment="1">
      <alignment horizontal="center"/>
    </xf>
    <xf numFmtId="0" fontId="22" fillId="8" borderId="6" xfId="0" applyFont="1" applyFill="1" applyBorder="1" applyAlignment="1" applyProtection="1">
      <alignment horizontal="center" vertical="center"/>
      <protection locked="0"/>
    </xf>
    <xf numFmtId="0" fontId="22" fillId="8" borderId="7" xfId="0" applyFont="1" applyFill="1" applyBorder="1" applyAlignment="1" applyProtection="1">
      <alignment horizontal="center" vertical="center"/>
      <protection locked="0"/>
    </xf>
    <xf numFmtId="0" fontId="22" fillId="8" borderId="5" xfId="0" applyFont="1" applyFill="1" applyBorder="1" applyAlignment="1" applyProtection="1">
      <alignment horizontal="center" vertical="center"/>
      <protection locked="0"/>
    </xf>
    <xf numFmtId="0" fontId="124" fillId="8" borderId="143" xfId="0" applyFont="1" applyFill="1" applyBorder="1" applyAlignment="1">
      <alignment horizontal="left" vertical="center"/>
    </xf>
    <xf numFmtId="0" fontId="194" fillId="0" borderId="0" xfId="0" applyFont="1" applyBorder="1" applyAlignment="1">
      <alignment horizontal="left" vertical="center"/>
    </xf>
    <xf numFmtId="14" fontId="1" fillId="8" borderId="6" xfId="0" applyNumberFormat="1" applyFont="1" applyFill="1" applyBorder="1" applyAlignment="1" applyProtection="1">
      <alignment horizontal="left" vertical="center"/>
      <protection locked="0"/>
    </xf>
    <xf numFmtId="14" fontId="1" fillId="8" borderId="7" xfId="0" applyNumberFormat="1" applyFont="1" applyFill="1" applyBorder="1" applyAlignment="1" applyProtection="1">
      <alignment horizontal="left" vertical="center"/>
      <protection locked="0"/>
    </xf>
    <xf numFmtId="14" fontId="1" fillId="8" borderId="5" xfId="0" applyNumberFormat="1" applyFont="1" applyFill="1" applyBorder="1" applyAlignment="1" applyProtection="1">
      <alignment horizontal="left" vertical="center"/>
      <protection locked="0"/>
    </xf>
    <xf numFmtId="0" fontId="69" fillId="0" borderId="0" xfId="0" applyFont="1" applyBorder="1" applyAlignment="1">
      <alignment horizontal="right" vertical="center" wrapText="1"/>
    </xf>
    <xf numFmtId="0" fontId="69" fillId="0" borderId="13" xfId="0" applyFont="1" applyBorder="1" applyAlignment="1">
      <alignment horizontal="right" vertical="center" wrapText="1"/>
    </xf>
    <xf numFmtId="0" fontId="28" fillId="0" borderId="10" xfId="0" applyFont="1" applyBorder="1" applyAlignment="1">
      <alignment horizontal="left" vertical="top" wrapText="1"/>
    </xf>
    <xf numFmtId="0" fontId="118" fillId="0" borderId="10" xfId="0" applyFont="1" applyBorder="1" applyAlignment="1">
      <alignment horizontal="center"/>
    </xf>
    <xf numFmtId="0" fontId="1" fillId="8" borderId="6" xfId="0" applyFont="1" applyFill="1" applyBorder="1" applyAlignment="1" applyProtection="1">
      <alignment horizontal="left" vertical="center"/>
      <protection locked="0"/>
    </xf>
    <xf numFmtId="0" fontId="1" fillId="8" borderId="7" xfId="0" applyFont="1" applyFill="1" applyBorder="1" applyAlignment="1" applyProtection="1">
      <alignment horizontal="left" vertical="center"/>
      <protection locked="0"/>
    </xf>
    <xf numFmtId="0" fontId="1" fillId="8" borderId="5" xfId="0" applyFont="1" applyFill="1" applyBorder="1" applyAlignment="1" applyProtection="1">
      <alignment horizontal="left" vertical="center"/>
      <protection locked="0"/>
    </xf>
    <xf numFmtId="0" fontId="20" fillId="0" borderId="7" xfId="0" applyFont="1" applyBorder="1" applyAlignment="1">
      <alignment horizontal="right" vertical="top" wrapText="1"/>
    </xf>
    <xf numFmtId="0" fontId="1" fillId="8" borderId="6" xfId="0" applyFont="1" applyFill="1" applyBorder="1" applyAlignment="1" applyProtection="1">
      <alignment vertical="center"/>
      <protection locked="0"/>
    </xf>
    <xf numFmtId="0" fontId="1" fillId="8" borderId="7" xfId="0" applyFont="1" applyFill="1" applyBorder="1" applyAlignment="1" applyProtection="1">
      <alignment vertical="center"/>
      <protection locked="0"/>
    </xf>
    <xf numFmtId="0" fontId="1" fillId="8" borderId="5" xfId="0" applyFont="1" applyFill="1" applyBorder="1" applyAlignment="1" applyProtection="1">
      <alignment vertical="center"/>
      <protection locked="0"/>
    </xf>
    <xf numFmtId="166" fontId="1" fillId="8" borderId="4" xfId="0" applyNumberFormat="1" applyFont="1" applyFill="1" applyBorder="1" applyAlignment="1" applyProtection="1">
      <alignment horizontal="left" vertical="center"/>
      <protection locked="0"/>
    </xf>
    <xf numFmtId="165" fontId="1" fillId="8" borderId="4" xfId="0" applyNumberFormat="1" applyFont="1" applyFill="1" applyBorder="1" applyAlignment="1" applyProtection="1">
      <alignment horizontal="left" vertical="center"/>
      <protection locked="0"/>
    </xf>
    <xf numFmtId="0" fontId="28" fillId="0" borderId="10" xfId="0" applyFont="1" applyBorder="1" applyAlignment="1">
      <alignment horizontal="center" vertical="top"/>
    </xf>
    <xf numFmtId="0" fontId="28" fillId="0" borderId="0" xfId="0" applyFont="1" applyBorder="1" applyAlignment="1">
      <alignment horizontal="center" vertical="top"/>
    </xf>
    <xf numFmtId="0" fontId="11" fillId="7" borderId="0" xfId="0" quotePrefix="1" applyFont="1" applyFill="1" applyAlignment="1" applyProtection="1">
      <alignment vertical="center"/>
      <protection hidden="1"/>
    </xf>
    <xf numFmtId="0" fontId="11" fillId="7" borderId="0" xfId="0" applyFont="1" applyFill="1" applyAlignment="1" applyProtection="1">
      <alignment vertical="center"/>
      <protection hidden="1"/>
    </xf>
    <xf numFmtId="0" fontId="11" fillId="7" borderId="20" xfId="0" applyFont="1" applyFill="1" applyBorder="1" applyAlignment="1" applyProtection="1">
      <alignment horizontal="left" vertical="center"/>
      <protection hidden="1"/>
    </xf>
    <xf numFmtId="0" fontId="11" fillId="7" borderId="21" xfId="0" applyFont="1" applyFill="1" applyBorder="1" applyAlignment="1" applyProtection="1">
      <alignment horizontal="left" vertical="center"/>
      <protection hidden="1"/>
    </xf>
    <xf numFmtId="0" fontId="11" fillId="7" borderId="6" xfId="0" applyFont="1" applyFill="1" applyBorder="1" applyAlignment="1" applyProtection="1">
      <alignment horizontal="left" vertical="center"/>
      <protection hidden="1"/>
    </xf>
    <xf numFmtId="0" fontId="11" fillId="7" borderId="7" xfId="0" applyFont="1" applyFill="1" applyBorder="1" applyAlignment="1" applyProtection="1">
      <alignment horizontal="left" vertical="center"/>
      <protection hidden="1"/>
    </xf>
    <xf numFmtId="0" fontId="11" fillId="7" borderId="5" xfId="0" applyFont="1" applyFill="1" applyBorder="1" applyAlignment="1" applyProtection="1">
      <alignment horizontal="left" vertical="center"/>
      <protection hidden="1"/>
    </xf>
    <xf numFmtId="0" fontId="20" fillId="0" borderId="14" xfId="0" applyFont="1" applyBorder="1" applyAlignment="1">
      <alignment horizontal="left" vertical="center" wrapText="1"/>
    </xf>
    <xf numFmtId="0" fontId="20" fillId="0" borderId="15" xfId="0" applyFont="1" applyBorder="1" applyAlignment="1">
      <alignment horizontal="left" vertical="center" wrapText="1"/>
    </xf>
    <xf numFmtId="0" fontId="11" fillId="7" borderId="14" xfId="0" applyFont="1" applyFill="1" applyBorder="1" applyAlignment="1" applyProtection="1">
      <alignment horizontal="left" vertical="center"/>
      <protection hidden="1"/>
    </xf>
    <xf numFmtId="0" fontId="11" fillId="7" borderId="15" xfId="0" applyFont="1" applyFill="1" applyBorder="1" applyAlignment="1" applyProtection="1">
      <alignment horizontal="left" vertical="center"/>
      <protection hidden="1"/>
    </xf>
    <xf numFmtId="0" fontId="11" fillId="7" borderId="16" xfId="0" applyFont="1" applyFill="1" applyBorder="1" applyAlignment="1" applyProtection="1">
      <alignment horizontal="left" vertical="center"/>
      <protection hidden="1"/>
    </xf>
    <xf numFmtId="0" fontId="11" fillId="7" borderId="4" xfId="0" applyFont="1" applyFill="1" applyBorder="1" applyAlignment="1" applyProtection="1">
      <alignment horizontal="left" vertical="center"/>
      <protection hidden="1"/>
    </xf>
    <xf numFmtId="0" fontId="11" fillId="7" borderId="46" xfId="0" applyFont="1" applyFill="1" applyBorder="1" applyAlignment="1" applyProtection="1">
      <alignment horizontal="left" vertical="center"/>
      <protection hidden="1"/>
    </xf>
    <xf numFmtId="0" fontId="11" fillId="7" borderId="47" xfId="0" applyFont="1" applyFill="1" applyBorder="1" applyAlignment="1" applyProtection="1">
      <alignment horizontal="left" vertical="center"/>
      <protection hidden="1"/>
    </xf>
    <xf numFmtId="0" fontId="11" fillId="7" borderId="18" xfId="0" applyFont="1" applyFill="1" applyBorder="1" applyAlignment="1" applyProtection="1">
      <alignment horizontal="left" vertical="center"/>
      <protection hidden="1"/>
    </xf>
    <xf numFmtId="0" fontId="11" fillId="7" borderId="19" xfId="0" applyFont="1" applyFill="1" applyBorder="1" applyAlignment="1" applyProtection="1">
      <alignment horizontal="left" vertical="center"/>
      <protection hidden="1"/>
    </xf>
    <xf numFmtId="0" fontId="28" fillId="9" borderId="7" xfId="0" applyFont="1" applyFill="1" applyBorder="1" applyAlignment="1" applyProtection="1">
      <alignment horizontal="left" vertical="top" wrapText="1"/>
      <protection locked="0"/>
    </xf>
    <xf numFmtId="0" fontId="28" fillId="0" borderId="7" xfId="0" applyFont="1" applyBorder="1" applyAlignment="1">
      <alignment horizontal="right" vertical="top" wrapText="1"/>
    </xf>
    <xf numFmtId="0" fontId="11" fillId="7" borderId="29" xfId="0" applyFont="1" applyFill="1" applyBorder="1" applyAlignment="1" applyProtection="1">
      <alignment horizontal="left" vertical="center"/>
      <protection hidden="1"/>
    </xf>
    <xf numFmtId="0" fontId="11" fillId="7" borderId="30" xfId="0" applyFont="1" applyFill="1" applyBorder="1" applyAlignment="1" applyProtection="1">
      <alignment horizontal="left" vertical="center"/>
      <protection hidden="1"/>
    </xf>
    <xf numFmtId="0" fontId="11" fillId="7" borderId="44" xfId="0" applyFont="1" applyFill="1" applyBorder="1" applyAlignment="1" applyProtection="1">
      <alignment horizontal="left" vertical="center"/>
      <protection hidden="1"/>
    </xf>
    <xf numFmtId="0" fontId="11" fillId="7" borderId="45" xfId="0" applyFont="1" applyFill="1" applyBorder="1" applyAlignment="1" applyProtection="1">
      <alignment horizontal="left" vertical="center"/>
      <protection hidden="1"/>
    </xf>
    <xf numFmtId="0" fontId="2" fillId="0" borderId="0" xfId="0" applyFont="1" applyBorder="1" applyAlignment="1">
      <alignment horizontal="right" vertical="top" wrapText="1"/>
    </xf>
    <xf numFmtId="0" fontId="15" fillId="8" borderId="6" xfId="2" applyFill="1" applyBorder="1" applyAlignment="1" applyProtection="1">
      <alignment horizontal="left" vertical="center"/>
      <protection locked="0"/>
    </xf>
    <xf numFmtId="0" fontId="26" fillId="8" borderId="7" xfId="2" applyFont="1" applyFill="1" applyBorder="1" applyAlignment="1" applyProtection="1">
      <alignment horizontal="left" vertical="center"/>
      <protection locked="0"/>
    </xf>
    <xf numFmtId="0" fontId="118" fillId="0" borderId="0" xfId="0" applyFont="1" applyBorder="1" applyAlignment="1">
      <alignment horizontal="center"/>
    </xf>
    <xf numFmtId="0" fontId="11" fillId="0" borderId="6" xfId="0" applyFont="1" applyFill="1" applyBorder="1" applyAlignment="1" applyProtection="1">
      <alignment horizontal="left" vertical="center"/>
      <protection hidden="1"/>
    </xf>
    <xf numFmtId="0" fontId="11" fillId="0" borderId="5" xfId="0" applyFont="1" applyFill="1" applyBorder="1" applyAlignment="1" applyProtection="1">
      <alignment horizontal="left" vertical="center"/>
      <protection hidden="1"/>
    </xf>
    <xf numFmtId="0" fontId="0" fillId="0" borderId="6" xfId="0" applyFill="1" applyBorder="1" applyAlignment="1">
      <alignment horizontal="center" vertical="center"/>
    </xf>
    <xf numFmtId="0" fontId="0" fillId="0" borderId="5" xfId="0" applyFill="1" applyBorder="1" applyAlignment="1">
      <alignment horizontal="center" vertical="center"/>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5" xfId="0" applyFill="1" applyBorder="1" applyAlignment="1">
      <alignment horizontal="center" vertical="center"/>
    </xf>
    <xf numFmtId="0" fontId="0" fillId="0" borderId="7" xfId="0" applyFill="1" applyBorder="1" applyAlignment="1">
      <alignment horizontal="center" vertical="center"/>
    </xf>
    <xf numFmtId="0" fontId="28" fillId="8" borderId="6" xfId="0" applyFont="1" applyFill="1" applyBorder="1" applyAlignment="1" applyProtection="1">
      <alignment horizontal="left" vertical="center"/>
      <protection locked="0"/>
    </xf>
    <xf numFmtId="0" fontId="28" fillId="8" borderId="7" xfId="0" applyFont="1" applyFill="1" applyBorder="1" applyAlignment="1" applyProtection="1">
      <alignment horizontal="left" vertical="center"/>
      <protection locked="0"/>
    </xf>
    <xf numFmtId="0" fontId="28" fillId="8" borderId="5" xfId="0" applyFont="1" applyFill="1" applyBorder="1" applyAlignment="1" applyProtection="1">
      <alignment horizontal="left" vertical="center"/>
      <protection locked="0"/>
    </xf>
    <xf numFmtId="0" fontId="28" fillId="0" borderId="10" xfId="0" applyFont="1" applyBorder="1" applyAlignment="1">
      <alignment horizontal="center" vertical="top" wrapText="1"/>
    </xf>
    <xf numFmtId="14" fontId="1" fillId="8" borderId="12" xfId="0" applyNumberFormat="1" applyFont="1" applyFill="1" applyBorder="1" applyAlignment="1" applyProtection="1">
      <alignment horizontal="center" vertical="center"/>
      <protection locked="0"/>
    </xf>
    <xf numFmtId="0" fontId="1" fillId="8" borderId="0" xfId="0" applyFont="1" applyFill="1" applyBorder="1" applyAlignment="1" applyProtection="1">
      <alignment horizontal="center" vertical="center"/>
      <protection locked="0"/>
    </xf>
    <xf numFmtId="0" fontId="1" fillId="8" borderId="13" xfId="0" applyFont="1" applyFill="1" applyBorder="1" applyAlignment="1" applyProtection="1">
      <alignment horizontal="center" vertical="center"/>
      <protection locked="0"/>
    </xf>
    <xf numFmtId="0" fontId="1" fillId="8" borderId="12" xfId="0" applyFont="1" applyFill="1" applyBorder="1" applyAlignment="1" applyProtection="1">
      <alignment horizontal="left" vertical="center"/>
      <protection locked="0"/>
    </xf>
    <xf numFmtId="0" fontId="1" fillId="8" borderId="0" xfId="0" applyFont="1" applyFill="1" applyBorder="1" applyAlignment="1" applyProtection="1">
      <alignment horizontal="left" vertical="center"/>
      <protection locked="0"/>
    </xf>
    <xf numFmtId="0" fontId="1" fillId="8" borderId="13" xfId="0" applyFont="1" applyFill="1" applyBorder="1" applyAlignment="1" applyProtection="1">
      <alignment horizontal="left" vertical="center"/>
      <protection locked="0"/>
    </xf>
    <xf numFmtId="0" fontId="118" fillId="0" borderId="0" xfId="0" applyFont="1" applyBorder="1" applyAlignment="1">
      <alignment horizontal="left" vertical="center" wrapText="1"/>
    </xf>
    <xf numFmtId="0" fontId="20" fillId="0" borderId="10" xfId="0" applyFont="1" applyBorder="1" applyAlignment="1">
      <alignment horizontal="left" vertical="top"/>
    </xf>
    <xf numFmtId="167" fontId="20" fillId="0" borderId="0" xfId="0" applyNumberFormat="1" applyFont="1" applyBorder="1" applyAlignment="1">
      <alignment horizontal="center" vertical="top"/>
    </xf>
    <xf numFmtId="0" fontId="20" fillId="0" borderId="0" xfId="0" applyFont="1" applyBorder="1" applyAlignment="1">
      <alignment horizontal="center" vertical="top"/>
    </xf>
    <xf numFmtId="0" fontId="1" fillId="8" borderId="9" xfId="0" applyFont="1" applyFill="1" applyBorder="1" applyAlignment="1" applyProtection="1">
      <alignment horizontal="left" vertical="top" wrapText="1"/>
      <protection locked="0"/>
    </xf>
    <xf numFmtId="0" fontId="1" fillId="8" borderId="10" xfId="0" applyFont="1" applyFill="1" applyBorder="1" applyAlignment="1" applyProtection="1">
      <alignment horizontal="left" vertical="top" wrapText="1"/>
      <protection locked="0"/>
    </xf>
    <xf numFmtId="0" fontId="1" fillId="8" borderId="11" xfId="0" applyFont="1" applyFill="1" applyBorder="1" applyAlignment="1" applyProtection="1">
      <alignment horizontal="left" vertical="top" wrapText="1"/>
      <protection locked="0"/>
    </xf>
    <xf numFmtId="0" fontId="1" fillId="8" borderId="14" xfId="0" applyFont="1" applyFill="1" applyBorder="1" applyAlignment="1" applyProtection="1">
      <alignment horizontal="left" vertical="top" wrapText="1"/>
      <protection locked="0"/>
    </xf>
    <xf numFmtId="0" fontId="1" fillId="8" borderId="15" xfId="0" applyFont="1" applyFill="1" applyBorder="1" applyAlignment="1" applyProtection="1">
      <alignment horizontal="left" vertical="top" wrapText="1"/>
      <protection locked="0"/>
    </xf>
    <xf numFmtId="0" fontId="1" fillId="8" borderId="16" xfId="0" applyFont="1" applyFill="1" applyBorder="1" applyAlignment="1" applyProtection="1">
      <alignment horizontal="left" vertical="top" wrapText="1"/>
      <protection locked="0"/>
    </xf>
    <xf numFmtId="0" fontId="0" fillId="0" borderId="0" xfId="0" applyBorder="1" applyAlignment="1">
      <alignment horizontal="center" vertical="center"/>
    </xf>
    <xf numFmtId="0" fontId="29" fillId="0" borderId="15" xfId="0" applyFont="1" applyBorder="1" applyAlignment="1" applyProtection="1">
      <alignment horizontal="center" vertical="center"/>
      <protection locked="0"/>
    </xf>
    <xf numFmtId="0" fontId="48" fillId="0" borderId="55" xfId="0" applyFont="1" applyBorder="1" applyAlignment="1">
      <alignment horizontal="center" vertical="center"/>
    </xf>
    <xf numFmtId="167" fontId="1" fillId="8" borderId="6" xfId="0" applyNumberFormat="1" applyFont="1" applyFill="1" applyBorder="1" applyAlignment="1" applyProtection="1">
      <alignment horizontal="right" vertical="center"/>
      <protection locked="0"/>
    </xf>
    <xf numFmtId="167" fontId="1" fillId="8" borderId="5" xfId="0" applyNumberFormat="1" applyFont="1" applyFill="1" applyBorder="1" applyAlignment="1" applyProtection="1">
      <alignment horizontal="right" vertical="center"/>
      <protection locked="0"/>
    </xf>
    <xf numFmtId="0" fontId="144" fillId="8" borderId="6" xfId="0" applyFont="1" applyFill="1" applyBorder="1" applyAlignment="1" applyProtection="1">
      <alignment horizontal="left" vertical="center"/>
      <protection locked="0"/>
    </xf>
    <xf numFmtId="0" fontId="144" fillId="8" borderId="7" xfId="0" applyFont="1" applyFill="1" applyBorder="1" applyAlignment="1" applyProtection="1">
      <alignment horizontal="left" vertical="center"/>
      <protection locked="0"/>
    </xf>
    <xf numFmtId="0" fontId="144" fillId="8" borderId="5" xfId="0" applyFont="1" applyFill="1" applyBorder="1" applyAlignment="1" applyProtection="1">
      <alignment horizontal="left" vertical="center"/>
      <protection locked="0"/>
    </xf>
    <xf numFmtId="0" fontId="20" fillId="0" borderId="0" xfId="0" applyFont="1" applyBorder="1" applyAlignment="1">
      <alignment horizontal="left" vertical="top"/>
    </xf>
    <xf numFmtId="0" fontId="29" fillId="0" borderId="0" xfId="0" applyFont="1" applyBorder="1" applyAlignment="1">
      <alignment horizontal="left" vertical="top"/>
    </xf>
    <xf numFmtId="0" fontId="29" fillId="0" borderId="10" xfId="0" applyFont="1" applyBorder="1" applyAlignment="1">
      <alignment horizontal="left" vertical="top"/>
    </xf>
    <xf numFmtId="0" fontId="48" fillId="0" borderId="0" xfId="0" applyFont="1" applyAlignment="1">
      <alignment horizontal="center" vertical="center"/>
    </xf>
    <xf numFmtId="0" fontId="48" fillId="0" borderId="0" xfId="0" applyFont="1" applyBorder="1" applyAlignment="1">
      <alignment horizontal="center" vertical="center"/>
    </xf>
    <xf numFmtId="0" fontId="48" fillId="0" borderId="10" xfId="0" applyFont="1" applyBorder="1" applyAlignment="1">
      <alignment horizontal="center" vertical="center"/>
    </xf>
    <xf numFmtId="0" fontId="194" fillId="0" borderId="145" xfId="0" applyFont="1" applyBorder="1" applyAlignment="1">
      <alignment horizontal="left" vertical="center"/>
    </xf>
    <xf numFmtId="0" fontId="117" fillId="0" borderId="0" xfId="0" applyFont="1" applyBorder="1" applyAlignment="1" applyProtection="1">
      <alignment horizontal="left" vertical="center" wrapText="1"/>
    </xf>
    <xf numFmtId="0" fontId="118" fillId="0" borderId="10" xfId="0" applyFont="1" applyBorder="1" applyAlignment="1" applyProtection="1">
      <alignment horizontal="left" vertical="top" wrapText="1"/>
    </xf>
    <xf numFmtId="0" fontId="118" fillId="0" borderId="0" xfId="0" applyFont="1" applyBorder="1" applyAlignment="1" applyProtection="1">
      <alignment horizontal="left" vertical="top" wrapText="1"/>
    </xf>
    <xf numFmtId="0" fontId="117" fillId="0" borderId="13" xfId="0" applyFont="1" applyBorder="1" applyAlignment="1" applyProtection="1">
      <alignment horizontal="left" vertical="center" wrapText="1"/>
    </xf>
    <xf numFmtId="167" fontId="29" fillId="0" borderId="10" xfId="0" applyNumberFormat="1" applyFont="1" applyBorder="1" applyAlignment="1" applyProtection="1">
      <alignment horizontal="right" vertical="top" wrapText="1"/>
    </xf>
    <xf numFmtId="0" fontId="118" fillId="0" borderId="1" xfId="0" applyFont="1" applyBorder="1" applyAlignment="1" applyProtection="1">
      <alignment horizontal="left" vertical="top" wrapText="1"/>
    </xf>
    <xf numFmtId="0" fontId="117" fillId="0" borderId="2" xfId="0" applyFont="1" applyBorder="1" applyAlignment="1" applyProtection="1">
      <alignment horizontal="left" vertical="center" wrapText="1"/>
    </xf>
    <xf numFmtId="167" fontId="108" fillId="0" borderId="0" xfId="0" applyNumberFormat="1" applyFont="1" applyBorder="1" applyAlignment="1" applyProtection="1">
      <alignment horizontal="right" vertical="center" wrapText="1"/>
    </xf>
    <xf numFmtId="167" fontId="78" fillId="0" borderId="12" xfId="0" applyNumberFormat="1" applyFont="1" applyBorder="1" applyAlignment="1" applyProtection="1">
      <alignment horizontal="right" vertical="center" wrapText="1"/>
    </xf>
    <xf numFmtId="167" fontId="78" fillId="0" borderId="0" xfId="0" applyNumberFormat="1" applyFont="1" applyBorder="1" applyAlignment="1" applyProtection="1">
      <alignment horizontal="right" vertical="center" wrapText="1"/>
    </xf>
    <xf numFmtId="0" fontId="22" fillId="8" borderId="6" xfId="0" applyFont="1" applyFill="1" applyBorder="1" applyAlignment="1" applyProtection="1">
      <alignment horizontal="center" vertical="center" wrapText="1"/>
    </xf>
    <xf numFmtId="0" fontId="22" fillId="8" borderId="5" xfId="0" applyFont="1" applyFill="1" applyBorder="1" applyAlignment="1" applyProtection="1">
      <alignment horizontal="center" vertical="center" wrapText="1"/>
    </xf>
    <xf numFmtId="167" fontId="29" fillId="0" borderId="0" xfId="0" applyNumberFormat="1" applyFont="1" applyBorder="1" applyAlignment="1" applyProtection="1">
      <alignment horizontal="right" vertical="top" wrapText="1"/>
    </xf>
    <xf numFmtId="0" fontId="29" fillId="0" borderId="10" xfId="0" quotePrefix="1" applyFont="1" applyBorder="1" applyAlignment="1" applyProtection="1">
      <alignment horizontal="left" vertical="top" wrapText="1"/>
    </xf>
    <xf numFmtId="0" fontId="29" fillId="0" borderId="10" xfId="0" applyFont="1" applyBorder="1" applyAlignment="1" applyProtection="1">
      <alignment horizontal="left" vertical="top" wrapText="1"/>
    </xf>
    <xf numFmtId="167" fontId="69" fillId="0" borderId="12" xfId="0" applyNumberFormat="1" applyFont="1" applyBorder="1" applyAlignment="1" applyProtection="1">
      <alignment horizontal="right" vertical="center" wrapText="1"/>
    </xf>
    <xf numFmtId="167" fontId="69" fillId="0" borderId="0" xfId="0" applyNumberFormat="1" applyFont="1" applyBorder="1" applyAlignment="1" applyProtection="1">
      <alignment horizontal="right" vertical="center" wrapText="1"/>
    </xf>
    <xf numFmtId="0" fontId="69" fillId="0" borderId="10" xfId="0" applyFont="1" applyBorder="1" applyAlignment="1" applyProtection="1">
      <alignment horizontal="left" vertical="top"/>
    </xf>
    <xf numFmtId="14" fontId="1" fillId="8" borderId="14" xfId="0" applyNumberFormat="1" applyFont="1" applyFill="1" applyBorder="1" applyAlignment="1" applyProtection="1">
      <alignment horizontal="left" vertical="center"/>
      <protection locked="0"/>
    </xf>
    <xf numFmtId="14" fontId="1" fillId="8" borderId="15" xfId="0" applyNumberFormat="1" applyFont="1" applyFill="1" applyBorder="1" applyAlignment="1" applyProtection="1">
      <alignment horizontal="left" vertical="center"/>
      <protection locked="0"/>
    </xf>
    <xf numFmtId="14" fontId="1" fillId="8" borderId="16" xfId="0" applyNumberFormat="1" applyFont="1" applyFill="1" applyBorder="1" applyAlignment="1" applyProtection="1">
      <alignment horizontal="left" vertical="center"/>
      <protection locked="0"/>
    </xf>
    <xf numFmtId="0" fontId="69" fillId="0" borderId="0" xfId="0" applyFont="1" applyBorder="1" applyAlignment="1" applyProtection="1">
      <alignment horizontal="right" vertical="center" wrapText="1"/>
    </xf>
    <xf numFmtId="0" fontId="26" fillId="8" borderId="6" xfId="2" applyFont="1" applyFill="1" applyBorder="1" applyAlignment="1" applyProtection="1">
      <alignment horizontal="left" vertical="center"/>
      <protection locked="0"/>
    </xf>
    <xf numFmtId="167" fontId="1" fillId="8" borderId="7" xfId="0" applyNumberFormat="1" applyFont="1" applyFill="1" applyBorder="1" applyAlignment="1" applyProtection="1">
      <alignment horizontal="right" vertical="center"/>
      <protection locked="0"/>
    </xf>
    <xf numFmtId="0" fontId="124" fillId="8" borderId="144" xfId="0" applyFont="1" applyFill="1" applyBorder="1" applyAlignment="1">
      <alignment horizontal="left" vertical="center"/>
    </xf>
    <xf numFmtId="0" fontId="63" fillId="0" borderId="0" xfId="0" applyFont="1" applyBorder="1" applyAlignment="1" applyProtection="1">
      <alignment horizontal="left" vertical="center" wrapText="1"/>
    </xf>
    <xf numFmtId="0" fontId="102" fillId="7" borderId="0" xfId="0" applyFont="1" applyFill="1" applyBorder="1" applyAlignment="1" applyProtection="1">
      <alignment horizontal="left" vertical="center" wrapText="1"/>
    </xf>
    <xf numFmtId="0" fontId="69" fillId="0" borderId="10" xfId="0" applyFont="1" applyBorder="1" applyAlignment="1" applyProtection="1">
      <alignment horizontal="left" vertical="top" wrapText="1"/>
    </xf>
    <xf numFmtId="0" fontId="95" fillId="0" borderId="14" xfId="0" applyFont="1" applyBorder="1" applyAlignment="1" applyProtection="1">
      <alignment horizontal="right" vertical="center" wrapText="1"/>
    </xf>
    <xf numFmtId="0" fontId="95" fillId="0" borderId="16" xfId="0" applyFont="1" applyBorder="1" applyAlignment="1" applyProtection="1">
      <alignment horizontal="right" vertical="center" wrapText="1"/>
    </xf>
    <xf numFmtId="0" fontId="1" fillId="8" borderId="6" xfId="0" applyFont="1" applyFill="1" applyBorder="1" applyAlignment="1" applyProtection="1">
      <alignment horizontal="left" vertical="center" wrapText="1"/>
      <protection locked="0"/>
    </xf>
    <xf numFmtId="0" fontId="26" fillId="7" borderId="0" xfId="2" applyFont="1" applyFill="1" applyBorder="1" applyAlignment="1">
      <alignment horizontal="left"/>
    </xf>
    <xf numFmtId="0" fontId="159" fillId="0" borderId="0" xfId="0" applyFont="1" applyBorder="1" applyAlignment="1" applyProtection="1">
      <alignment horizontal="left" vertical="top" wrapText="1"/>
    </xf>
    <xf numFmtId="0" fontId="117" fillId="0" borderId="12" xfId="0" applyFont="1" applyBorder="1" applyAlignment="1" applyProtection="1">
      <alignment horizontal="left" vertical="center" wrapText="1"/>
    </xf>
    <xf numFmtId="0" fontId="76" fillId="14" borderId="0" xfId="0" applyFont="1" applyFill="1" applyAlignment="1">
      <alignment horizontal="center"/>
    </xf>
    <xf numFmtId="0" fontId="28" fillId="2" borderId="18" xfId="0" applyFont="1" applyFill="1" applyBorder="1" applyAlignment="1" applyProtection="1">
      <alignment horizontal="left" vertical="center" wrapText="1"/>
      <protection locked="0"/>
    </xf>
    <xf numFmtId="0" fontId="28" fillId="2" borderId="19" xfId="0" applyFont="1" applyFill="1" applyBorder="1" applyAlignment="1" applyProtection="1">
      <alignment horizontal="left" vertical="center" wrapText="1"/>
      <protection locked="0"/>
    </xf>
    <xf numFmtId="0" fontId="28" fillId="2" borderId="133" xfId="0" applyFont="1" applyFill="1" applyBorder="1" applyAlignment="1" applyProtection="1">
      <alignment horizontal="left" vertical="center" wrapText="1"/>
      <protection locked="0"/>
    </xf>
    <xf numFmtId="0" fontId="69" fillId="2" borderId="0" xfId="0" applyFont="1" applyFill="1" applyBorder="1" applyAlignment="1">
      <alignment horizontal="center" vertical="top"/>
    </xf>
    <xf numFmtId="6" fontId="28" fillId="5" borderId="6" xfId="0" applyNumberFormat="1" applyFont="1" applyFill="1" applyBorder="1" applyAlignment="1" applyProtection="1">
      <alignment horizontal="center" vertical="center"/>
      <protection locked="0"/>
    </xf>
    <xf numFmtId="6" fontId="28" fillId="5" borderId="7" xfId="0" applyNumberFormat="1" applyFont="1" applyFill="1" applyBorder="1" applyAlignment="1" applyProtection="1">
      <alignment horizontal="center" vertical="center"/>
      <protection locked="0"/>
    </xf>
    <xf numFmtId="0" fontId="69" fillId="2" borderId="12" xfId="0" applyFont="1" applyFill="1" applyBorder="1" applyAlignment="1">
      <alignment horizontal="right" vertical="center"/>
    </xf>
    <xf numFmtId="0" fontId="69" fillId="2" borderId="0" xfId="0" applyFont="1" applyFill="1" applyBorder="1" applyAlignment="1">
      <alignment horizontal="right" vertical="center"/>
    </xf>
    <xf numFmtId="0" fontId="69" fillId="2" borderId="13" xfId="0" applyFont="1" applyFill="1" applyBorder="1" applyAlignment="1">
      <alignment horizontal="right" vertical="center"/>
    </xf>
    <xf numFmtId="0" fontId="28" fillId="0" borderId="0" xfId="0" applyFont="1" applyBorder="1" applyAlignment="1">
      <alignment horizontal="left" vertical="center"/>
    </xf>
    <xf numFmtId="0" fontId="28" fillId="0" borderId="13" xfId="0" applyFont="1" applyBorder="1" applyAlignment="1">
      <alignment horizontal="left" vertical="center"/>
    </xf>
    <xf numFmtId="6" fontId="28" fillId="5" borderId="6" xfId="0" applyNumberFormat="1" applyFont="1" applyFill="1" applyBorder="1" applyAlignment="1" applyProtection="1">
      <alignment vertical="center"/>
      <protection locked="0"/>
    </xf>
    <xf numFmtId="6" fontId="28" fillId="5" borderId="7" xfId="0" applyNumberFormat="1" applyFont="1" applyFill="1" applyBorder="1" applyAlignment="1" applyProtection="1">
      <alignment vertical="center"/>
      <protection locked="0"/>
    </xf>
    <xf numFmtId="6" fontId="28" fillId="5" borderId="5" xfId="0" applyNumberFormat="1" applyFont="1" applyFill="1" applyBorder="1" applyAlignment="1" applyProtection="1">
      <alignment vertical="center"/>
      <protection locked="0"/>
    </xf>
    <xf numFmtId="6" fontId="1" fillId="5" borderId="6" xfId="0" applyNumberFormat="1" applyFont="1" applyFill="1" applyBorder="1" applyAlignment="1" applyProtection="1">
      <alignment horizontal="center" vertical="center"/>
      <protection locked="0"/>
    </xf>
    <xf numFmtId="6" fontId="1" fillId="5" borderId="7" xfId="0" applyNumberFormat="1" applyFont="1" applyFill="1" applyBorder="1" applyAlignment="1" applyProtection="1">
      <alignment horizontal="center" vertical="center"/>
      <protection locked="0"/>
    </xf>
    <xf numFmtId="0" fontId="28" fillId="2" borderId="0" xfId="0" applyFont="1" applyFill="1" applyBorder="1" applyAlignment="1">
      <alignment horizontal="left" vertical="center"/>
    </xf>
    <xf numFmtId="0" fontId="28" fillId="2" borderId="13" xfId="0" applyFont="1" applyFill="1" applyBorder="1" applyAlignment="1">
      <alignment horizontal="left" vertical="center"/>
    </xf>
    <xf numFmtId="0" fontId="114" fillId="2" borderId="0" xfId="0" applyFont="1" applyFill="1" applyBorder="1" applyAlignment="1">
      <alignment vertical="center"/>
    </xf>
    <xf numFmtId="0" fontId="69" fillId="2" borderId="0" xfId="0" applyFont="1" applyFill="1" applyBorder="1" applyAlignment="1">
      <alignment vertical="center"/>
    </xf>
    <xf numFmtId="0" fontId="69" fillId="2" borderId="13" xfId="0" applyFont="1" applyFill="1" applyBorder="1" applyAlignment="1">
      <alignment vertical="center"/>
    </xf>
    <xf numFmtId="9" fontId="173" fillId="0" borderId="0" xfId="0" applyNumberFormat="1" applyFont="1" applyAlignment="1" applyProtection="1">
      <alignment horizontal="left" vertical="top"/>
      <protection locked="0"/>
    </xf>
    <xf numFmtId="6" fontId="1" fillId="8" borderId="6" xfId="0" applyNumberFormat="1" applyFont="1" applyFill="1" applyBorder="1" applyAlignment="1" applyProtection="1">
      <alignment horizontal="right" vertical="center"/>
      <protection locked="0"/>
    </xf>
    <xf numFmtId="6" fontId="1" fillId="8" borderId="7" xfId="0" applyNumberFormat="1" applyFont="1" applyFill="1" applyBorder="1" applyAlignment="1" applyProtection="1">
      <alignment horizontal="right" vertical="center"/>
      <protection locked="0"/>
    </xf>
    <xf numFmtId="6" fontId="1" fillId="8" borderId="5" xfId="0" applyNumberFormat="1" applyFont="1" applyFill="1" applyBorder="1" applyAlignment="1" applyProtection="1">
      <alignment horizontal="right" vertical="center"/>
      <protection locked="0"/>
    </xf>
    <xf numFmtId="6" fontId="111" fillId="0" borderId="0" xfId="0" applyNumberFormat="1" applyFont="1" applyFill="1" applyBorder="1" applyAlignment="1" applyProtection="1">
      <alignment horizontal="left" vertical="top"/>
      <protection locked="0"/>
    </xf>
    <xf numFmtId="6" fontId="111" fillId="0" borderId="15" xfId="0" applyNumberFormat="1" applyFont="1" applyFill="1" applyBorder="1" applyAlignment="1" applyProtection="1">
      <alignment horizontal="left" vertical="top"/>
      <protection locked="0"/>
    </xf>
    <xf numFmtId="6" fontId="22" fillId="8" borderId="0" xfId="0" applyNumberFormat="1" applyFont="1" applyFill="1" applyBorder="1" applyAlignment="1" applyProtection="1">
      <alignment horizontal="center" vertical="center"/>
    </xf>
    <xf numFmtId="0" fontId="46" fillId="8" borderId="6" xfId="0" applyFont="1" applyFill="1" applyBorder="1" applyAlignment="1" applyProtection="1">
      <alignment horizontal="center" vertical="center"/>
    </xf>
    <xf numFmtId="0" fontId="46" fillId="8" borderId="7" xfId="0" applyFont="1" applyFill="1" applyBorder="1" applyAlignment="1" applyProtection="1">
      <alignment horizontal="center" vertical="center"/>
    </xf>
    <xf numFmtId="6" fontId="22" fillId="9" borderId="10" xfId="0" applyNumberFormat="1" applyFont="1" applyFill="1" applyBorder="1" applyAlignment="1" applyProtection="1">
      <alignment horizontal="center" vertical="center"/>
    </xf>
    <xf numFmtId="164" fontId="28" fillId="2" borderId="6" xfId="1" applyNumberFormat="1" applyFont="1" applyFill="1" applyBorder="1" applyAlignment="1" applyProtection="1">
      <alignment horizontal="center" vertical="center" wrapText="1"/>
      <protection locked="0"/>
    </xf>
    <xf numFmtId="164" fontId="28" fillId="2" borderId="7" xfId="1" applyNumberFormat="1" applyFont="1" applyFill="1" applyBorder="1" applyAlignment="1" applyProtection="1">
      <alignment horizontal="center" vertical="center" wrapText="1"/>
      <protection locked="0"/>
    </xf>
    <xf numFmtId="164" fontId="28" fillId="2" borderId="5" xfId="1" applyNumberFormat="1" applyFont="1" applyFill="1" applyBorder="1" applyAlignment="1" applyProtection="1">
      <alignment horizontal="center" vertical="center" wrapText="1"/>
      <protection locked="0"/>
    </xf>
    <xf numFmtId="0" fontId="29" fillId="0" borderId="7" xfId="0" applyFont="1" applyBorder="1" applyAlignment="1">
      <alignment horizontal="center"/>
    </xf>
    <xf numFmtId="6" fontId="46" fillId="8" borderId="7" xfId="0" applyNumberFormat="1" applyFont="1" applyFill="1" applyBorder="1" applyAlignment="1" applyProtection="1">
      <alignment horizontal="center" vertical="center"/>
    </xf>
    <xf numFmtId="10" fontId="22" fillId="0" borderId="0" xfId="0" applyNumberFormat="1"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115" fillId="0" borderId="10" xfId="0" applyFont="1" applyBorder="1" applyAlignment="1">
      <alignment horizontal="center"/>
    </xf>
    <xf numFmtId="0" fontId="22" fillId="0" borderId="6" xfId="0" applyFont="1" applyBorder="1" applyAlignment="1">
      <alignment horizontal="center"/>
    </xf>
    <xf numFmtId="0" fontId="22" fillId="0" borderId="7" xfId="0" applyFont="1" applyBorder="1" applyAlignment="1">
      <alignment horizontal="center"/>
    </xf>
    <xf numFmtId="0" fontId="22" fillId="0" borderId="5" xfId="0" applyFont="1" applyBorder="1" applyAlignment="1">
      <alignment horizontal="center"/>
    </xf>
    <xf numFmtId="6" fontId="22" fillId="9" borderId="15" xfId="0" applyNumberFormat="1" applyFont="1" applyFill="1" applyBorder="1" applyAlignment="1" applyProtection="1">
      <alignment horizontal="center" vertical="center"/>
    </xf>
    <xf numFmtId="0" fontId="46" fillId="8" borderId="7" xfId="0" applyFont="1" applyFill="1" applyBorder="1" applyAlignment="1" applyProtection="1">
      <alignment horizontal="center"/>
      <protection hidden="1"/>
    </xf>
    <xf numFmtId="6" fontId="22" fillId="9" borderId="0" xfId="0" applyNumberFormat="1" applyFont="1" applyFill="1" applyBorder="1" applyAlignment="1" applyProtection="1">
      <alignment horizontal="center" vertical="center"/>
    </xf>
    <xf numFmtId="0" fontId="22" fillId="8" borderId="0" xfId="0" applyFont="1" applyFill="1" applyBorder="1" applyAlignment="1" applyProtection="1">
      <alignment horizontal="center"/>
      <protection locked="0" hidden="1"/>
    </xf>
    <xf numFmtId="10" fontId="22" fillId="8" borderId="0" xfId="1" applyNumberFormat="1" applyFont="1" applyFill="1" applyBorder="1" applyAlignment="1" applyProtection="1">
      <alignment horizontal="center"/>
      <protection locked="0" hidden="1"/>
    </xf>
    <xf numFmtId="10" fontId="22" fillId="8" borderId="13" xfId="1" applyNumberFormat="1" applyFont="1" applyFill="1" applyBorder="1" applyAlignment="1" applyProtection="1">
      <alignment horizontal="center"/>
      <protection locked="0" hidden="1"/>
    </xf>
    <xf numFmtId="6" fontId="1" fillId="5" borderId="6" xfId="0" applyNumberFormat="1" applyFont="1" applyFill="1" applyBorder="1" applyAlignment="1" applyProtection="1">
      <alignment vertical="center"/>
    </xf>
    <xf numFmtId="6" fontId="1" fillId="5" borderId="7" xfId="0" applyNumberFormat="1" applyFont="1" applyFill="1" applyBorder="1" applyAlignment="1" applyProtection="1">
      <alignment vertical="center"/>
    </xf>
    <xf numFmtId="6" fontId="1" fillId="5" borderId="5" xfId="0" applyNumberFormat="1" applyFont="1" applyFill="1" applyBorder="1" applyAlignment="1" applyProtection="1">
      <alignment vertical="center"/>
    </xf>
    <xf numFmtId="10" fontId="22" fillId="8" borderId="6" xfId="0" applyNumberFormat="1" applyFont="1" applyFill="1" applyBorder="1" applyAlignment="1" applyProtection="1">
      <alignment horizontal="center" vertical="center"/>
      <protection locked="0"/>
    </xf>
    <xf numFmtId="6" fontId="1" fillId="8" borderId="4" xfId="0" applyNumberFormat="1" applyFont="1" applyFill="1" applyBorder="1" applyAlignment="1" applyProtection="1">
      <alignment vertical="center"/>
      <protection locked="0"/>
    </xf>
    <xf numFmtId="0" fontId="47" fillId="12" borderId="53" xfId="0" applyFont="1" applyFill="1" applyBorder="1" applyAlignment="1" applyProtection="1">
      <alignment horizontal="center" vertical="center" wrapText="1"/>
      <protection locked="0" hidden="1"/>
    </xf>
    <xf numFmtId="0" fontId="47" fillId="12" borderId="54" xfId="0" applyFont="1" applyFill="1" applyBorder="1" applyAlignment="1" applyProtection="1">
      <alignment horizontal="center" vertical="center" wrapText="1"/>
      <protection locked="0" hidden="1"/>
    </xf>
    <xf numFmtId="0" fontId="0" fillId="8" borderId="6" xfId="0" applyFill="1" applyBorder="1" applyAlignment="1" applyProtection="1">
      <alignment horizontal="left" vertical="center"/>
      <protection locked="0"/>
    </xf>
    <xf numFmtId="0" fontId="0" fillId="8" borderId="7"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6" fontId="144" fillId="8" borderId="6" xfId="0" applyNumberFormat="1" applyFont="1" applyFill="1" applyBorder="1" applyAlignment="1" applyProtection="1">
      <alignment horizontal="left" vertical="center"/>
      <protection locked="0"/>
    </xf>
    <xf numFmtId="6" fontId="144" fillId="8" borderId="7" xfId="0" applyNumberFormat="1" applyFont="1" applyFill="1" applyBorder="1" applyAlignment="1" applyProtection="1">
      <alignment horizontal="left" vertical="center"/>
      <protection locked="0"/>
    </xf>
    <xf numFmtId="0" fontId="124" fillId="0" borderId="0" xfId="0" applyFont="1" applyBorder="1" applyAlignment="1">
      <alignment horizontal="left" vertical="center"/>
    </xf>
    <xf numFmtId="0" fontId="69" fillId="2" borderId="0" xfId="0" applyFont="1" applyFill="1" applyBorder="1" applyAlignment="1">
      <alignment horizontal="left" vertical="center"/>
    </xf>
    <xf numFmtId="0" fontId="69" fillId="2" borderId="13" xfId="0" applyFont="1" applyFill="1" applyBorder="1" applyAlignment="1">
      <alignment horizontal="left" vertical="center"/>
    </xf>
    <xf numFmtId="6" fontId="1" fillId="5" borderId="4" xfId="0" applyNumberFormat="1" applyFont="1" applyFill="1" applyBorder="1" applyAlignment="1" applyProtection="1">
      <alignment vertical="center"/>
      <protection locked="0"/>
    </xf>
    <xf numFmtId="0" fontId="113" fillId="8" borderId="0" xfId="0" applyFont="1" applyFill="1" applyBorder="1" applyAlignment="1">
      <alignment horizontal="left" vertical="center" wrapText="1"/>
    </xf>
    <xf numFmtId="0" fontId="0" fillId="0" borderId="55" xfId="0" applyBorder="1" applyAlignment="1">
      <alignment horizontal="center" vertical="center"/>
    </xf>
    <xf numFmtId="0" fontId="10" fillId="8" borderId="0" xfId="0" applyFont="1" applyFill="1" applyBorder="1" applyAlignment="1">
      <alignment horizontal="left" vertical="center"/>
    </xf>
    <xf numFmtId="167" fontId="1" fillId="8" borderId="0" xfId="3" applyNumberFormat="1" applyFont="1" applyFill="1" applyBorder="1" applyAlignment="1">
      <alignment horizontal="left" vertical="center"/>
    </xf>
    <xf numFmtId="0" fontId="1" fillId="8" borderId="0" xfId="0" applyFont="1" applyFill="1" applyBorder="1" applyAlignment="1">
      <alignment horizontal="left" vertical="center"/>
    </xf>
    <xf numFmtId="164" fontId="1" fillId="8" borderId="0" xfId="0" applyNumberFormat="1" applyFont="1" applyFill="1" applyBorder="1" applyAlignment="1">
      <alignment horizontal="left" vertical="center"/>
    </xf>
    <xf numFmtId="0" fontId="11" fillId="8" borderId="143" xfId="0" applyFont="1" applyFill="1" applyBorder="1" applyAlignment="1">
      <alignment horizontal="left" vertical="center"/>
    </xf>
    <xf numFmtId="0" fontId="161" fillId="0" borderId="15" xfId="0" applyFont="1" applyBorder="1" applyAlignment="1" applyProtection="1">
      <alignment horizontal="right"/>
      <protection locked="0" hidden="1"/>
    </xf>
    <xf numFmtId="14" fontId="171" fillId="0" borderId="15" xfId="0" applyNumberFormat="1" applyFont="1" applyBorder="1" applyAlignment="1">
      <alignment horizontal="center"/>
    </xf>
    <xf numFmtId="0" fontId="171" fillId="0" borderId="15" xfId="0" applyFont="1" applyBorder="1" applyAlignment="1">
      <alignment horizontal="center"/>
    </xf>
    <xf numFmtId="6" fontId="1" fillId="8" borderId="6" xfId="0" applyNumberFormat="1" applyFont="1" applyFill="1" applyBorder="1" applyAlignment="1" applyProtection="1">
      <alignment vertical="center"/>
      <protection locked="0"/>
    </xf>
    <xf numFmtId="6" fontId="1" fillId="8" borderId="7" xfId="0" applyNumberFormat="1" applyFont="1" applyFill="1" applyBorder="1" applyAlignment="1" applyProtection="1">
      <alignment vertical="center"/>
      <protection locked="0"/>
    </xf>
    <xf numFmtId="6" fontId="1" fillId="8" borderId="5" xfId="0" applyNumberFormat="1" applyFont="1" applyFill="1" applyBorder="1" applyAlignment="1" applyProtection="1">
      <alignment vertical="center"/>
      <protection locked="0"/>
    </xf>
    <xf numFmtId="6" fontId="69" fillId="9" borderId="6" xfId="0" applyNumberFormat="1" applyFont="1" applyFill="1" applyBorder="1" applyAlignment="1" applyProtection="1">
      <alignment horizontal="center" vertical="center"/>
      <protection locked="0"/>
    </xf>
    <xf numFmtId="6" fontId="69" fillId="9" borderId="5" xfId="0" applyNumberFormat="1" applyFont="1" applyFill="1" applyBorder="1" applyAlignment="1" applyProtection="1">
      <alignment horizontal="center" vertical="center"/>
      <protection locked="0"/>
    </xf>
    <xf numFmtId="0" fontId="46" fillId="14" borderId="6" xfId="0" applyFont="1" applyFill="1" applyBorder="1" applyAlignment="1" applyProtection="1">
      <alignment horizontal="center" vertical="center"/>
      <protection locked="0"/>
    </xf>
    <xf numFmtId="0" fontId="46" fillId="14" borderId="7" xfId="0" applyFont="1" applyFill="1" applyBorder="1" applyAlignment="1" applyProtection="1">
      <alignment horizontal="center" vertical="center"/>
      <protection locked="0"/>
    </xf>
    <xf numFmtId="0" fontId="46" fillId="14" borderId="5" xfId="0" applyFont="1" applyFill="1" applyBorder="1" applyAlignment="1" applyProtection="1">
      <alignment horizontal="center" vertical="center"/>
      <protection locked="0"/>
    </xf>
    <xf numFmtId="0" fontId="135" fillId="2" borderId="0" xfId="0" applyFont="1" applyFill="1" applyBorder="1" applyAlignment="1" applyProtection="1">
      <alignment horizontal="left" vertical="center"/>
      <protection locked="0"/>
    </xf>
    <xf numFmtId="10" fontId="165" fillId="0" borderId="15" xfId="1" applyNumberFormat="1" applyFont="1" applyFill="1" applyBorder="1" applyAlignment="1" applyProtection="1">
      <alignment horizontal="left"/>
      <protection hidden="1"/>
    </xf>
    <xf numFmtId="0" fontId="165" fillId="0" borderId="0" xfId="0" applyFont="1" applyFill="1" applyBorder="1" applyAlignment="1" applyProtection="1">
      <alignment horizontal="left"/>
    </xf>
    <xf numFmtId="0" fontId="28" fillId="0" borderId="18" xfId="0" applyFont="1" applyBorder="1" applyAlignment="1" applyProtection="1">
      <alignment horizontal="left" vertical="center"/>
      <protection locked="0" hidden="1"/>
    </xf>
    <xf numFmtId="0" fontId="28" fillId="0" borderId="19" xfId="0" applyFont="1" applyBorder="1" applyAlignment="1" applyProtection="1">
      <alignment horizontal="left" vertical="center"/>
      <protection locked="0" hidden="1"/>
    </xf>
    <xf numFmtId="0" fontId="28" fillId="0" borderId="133" xfId="0" applyFont="1" applyBorder="1" applyAlignment="1" applyProtection="1">
      <alignment horizontal="left" vertical="center"/>
      <protection locked="0" hidden="1"/>
    </xf>
    <xf numFmtId="167" fontId="28" fillId="2" borderId="19" xfId="0" applyNumberFormat="1" applyFont="1" applyFill="1" applyBorder="1" applyAlignment="1" applyProtection="1">
      <alignment horizontal="left" vertical="center" wrapText="1"/>
      <protection locked="0"/>
    </xf>
    <xf numFmtId="167" fontId="28" fillId="2" borderId="133" xfId="0" applyNumberFormat="1" applyFont="1" applyFill="1" applyBorder="1" applyAlignment="1" applyProtection="1">
      <alignment horizontal="left" vertical="center" wrapText="1"/>
      <protection locked="0"/>
    </xf>
    <xf numFmtId="164" fontId="28" fillId="2" borderId="19" xfId="1" applyNumberFormat="1" applyFont="1" applyFill="1" applyBorder="1" applyAlignment="1" applyProtection="1">
      <alignment horizontal="left" vertical="center" wrapText="1"/>
      <protection locked="0"/>
    </xf>
    <xf numFmtId="164" fontId="28" fillId="2" borderId="133" xfId="1" applyNumberFormat="1" applyFont="1" applyFill="1" applyBorder="1" applyAlignment="1" applyProtection="1">
      <alignment horizontal="left" vertical="center" wrapText="1"/>
      <protection locked="0"/>
    </xf>
    <xf numFmtId="0" fontId="27" fillId="2" borderId="0" xfId="0" applyFont="1" applyFill="1" applyBorder="1" applyAlignment="1">
      <alignment horizontal="left" vertical="center"/>
    </xf>
    <xf numFmtId="0" fontId="69" fillId="0" borderId="0" xfId="0" applyFont="1" applyFill="1" applyBorder="1" applyAlignment="1" applyProtection="1">
      <alignment horizontal="left" vertical="center"/>
    </xf>
    <xf numFmtId="6" fontId="201" fillId="8" borderId="7" xfId="1" applyNumberFormat="1" applyFont="1" applyFill="1" applyBorder="1" applyAlignment="1">
      <alignment horizontal="center" vertical="center"/>
    </xf>
    <xf numFmtId="10" fontId="201" fillId="8" borderId="5" xfId="1" applyNumberFormat="1" applyFont="1" applyFill="1" applyBorder="1" applyAlignment="1">
      <alignment horizontal="center" vertical="center"/>
    </xf>
    <xf numFmtId="6" fontId="46" fillId="8" borderId="6" xfId="0" applyNumberFormat="1" applyFont="1" applyFill="1" applyBorder="1" applyAlignment="1" applyProtection="1">
      <alignment horizontal="right" vertical="center"/>
    </xf>
    <xf numFmtId="6" fontId="46" fillId="8" borderId="7" xfId="0" applyNumberFormat="1" applyFont="1" applyFill="1" applyBorder="1" applyAlignment="1" applyProtection="1">
      <alignment horizontal="right" vertical="center"/>
    </xf>
    <xf numFmtId="0" fontId="46" fillId="8" borderId="6" xfId="0" applyFont="1" applyFill="1" applyBorder="1" applyAlignment="1" applyProtection="1">
      <alignment horizontal="center"/>
      <protection hidden="1"/>
    </xf>
    <xf numFmtId="0" fontId="46" fillId="8" borderId="5" xfId="0" applyFont="1" applyFill="1" applyBorder="1" applyAlignment="1" applyProtection="1">
      <alignment horizontal="center"/>
      <protection hidden="1"/>
    </xf>
    <xf numFmtId="0" fontId="201" fillId="8" borderId="7" xfId="0" applyFont="1" applyFill="1" applyBorder="1" applyAlignment="1">
      <alignment horizontal="center" vertical="center"/>
    </xf>
    <xf numFmtId="0" fontId="22" fillId="9" borderId="14" xfId="0" applyFont="1" applyFill="1" applyBorder="1" applyAlignment="1" applyProtection="1">
      <alignment horizontal="center" vertical="center"/>
    </xf>
    <xf numFmtId="0" fontId="22" fillId="9" borderId="15" xfId="0" applyFont="1" applyFill="1" applyBorder="1" applyAlignment="1" applyProtection="1">
      <alignment horizontal="center" vertical="center"/>
    </xf>
    <xf numFmtId="0" fontId="22" fillId="9" borderId="15" xfId="0" applyFont="1" applyFill="1" applyBorder="1" applyAlignment="1" applyProtection="1">
      <alignment horizontal="center"/>
      <protection locked="0" hidden="1"/>
    </xf>
    <xf numFmtId="10" fontId="22" fillId="9" borderId="15" xfId="1" applyNumberFormat="1" applyFont="1" applyFill="1" applyBorder="1" applyAlignment="1" applyProtection="1">
      <alignment horizontal="center"/>
      <protection locked="0" hidden="1"/>
    </xf>
    <xf numFmtId="10" fontId="22" fillId="9" borderId="16" xfId="1" applyNumberFormat="1" applyFont="1" applyFill="1" applyBorder="1" applyAlignment="1" applyProtection="1">
      <alignment horizontal="center"/>
      <protection locked="0" hidden="1"/>
    </xf>
    <xf numFmtId="6" fontId="22" fillId="9" borderId="12" xfId="0" applyNumberFormat="1" applyFont="1" applyFill="1" applyBorder="1" applyAlignment="1" applyProtection="1">
      <alignment horizontal="right" vertical="center"/>
    </xf>
    <xf numFmtId="6" fontId="22" fillId="9" borderId="0" xfId="0" applyNumberFormat="1" applyFont="1" applyFill="1" applyBorder="1" applyAlignment="1" applyProtection="1">
      <alignment horizontal="right" vertical="center"/>
    </xf>
    <xf numFmtId="0" fontId="46" fillId="8" borderId="6" xfId="0" applyFont="1" applyFill="1" applyBorder="1" applyAlignment="1">
      <alignment horizontal="center" vertical="center" wrapText="1"/>
    </xf>
    <xf numFmtId="0" fontId="46" fillId="8" borderId="7" xfId="0" applyFont="1" applyFill="1" applyBorder="1" applyAlignment="1">
      <alignment horizontal="center" vertical="center" wrapText="1"/>
    </xf>
    <xf numFmtId="0" fontId="22" fillId="9" borderId="9" xfId="0" applyFont="1" applyFill="1" applyBorder="1" applyAlignment="1" applyProtection="1">
      <alignment horizontal="center" vertical="center"/>
    </xf>
    <xf numFmtId="0" fontId="22" fillId="9" borderId="10" xfId="0" applyFont="1" applyFill="1" applyBorder="1" applyAlignment="1" applyProtection="1">
      <alignment horizontal="center" vertical="center"/>
    </xf>
    <xf numFmtId="0" fontId="22" fillId="9" borderId="10" xfId="0" applyFont="1" applyFill="1" applyBorder="1" applyAlignment="1" applyProtection="1">
      <alignment horizontal="center"/>
      <protection locked="0" hidden="1"/>
    </xf>
    <xf numFmtId="10" fontId="22" fillId="9" borderId="10" xfId="1" applyNumberFormat="1" applyFont="1" applyFill="1" applyBorder="1" applyAlignment="1" applyProtection="1">
      <alignment horizontal="center"/>
      <protection locked="0" hidden="1"/>
    </xf>
    <xf numFmtId="10" fontId="22" fillId="9" borderId="11" xfId="1" applyNumberFormat="1" applyFont="1" applyFill="1" applyBorder="1" applyAlignment="1" applyProtection="1">
      <alignment horizontal="center"/>
      <protection locked="0" hidden="1"/>
    </xf>
    <xf numFmtId="0" fontId="22" fillId="8" borderId="12" xfId="0" applyFont="1" applyFill="1" applyBorder="1" applyAlignment="1" applyProtection="1">
      <alignment horizontal="center" vertical="center"/>
    </xf>
    <xf numFmtId="0" fontId="22" fillId="8" borderId="0" xfId="0" applyFont="1" applyFill="1" applyBorder="1" applyAlignment="1" applyProtection="1">
      <alignment horizontal="center" vertical="center"/>
    </xf>
    <xf numFmtId="6" fontId="22" fillId="8" borderId="12" xfId="0" applyNumberFormat="1" applyFont="1" applyFill="1" applyBorder="1" applyAlignment="1" applyProtection="1">
      <alignment horizontal="right" vertical="center"/>
    </xf>
    <xf numFmtId="6" fontId="22" fillId="8" borderId="0" xfId="0" applyNumberFormat="1" applyFont="1" applyFill="1" applyBorder="1" applyAlignment="1" applyProtection="1">
      <alignment horizontal="right" vertical="center"/>
    </xf>
    <xf numFmtId="0" fontId="46" fillId="8" borderId="6" xfId="0" applyFont="1" applyFill="1" applyBorder="1" applyAlignment="1">
      <alignment horizontal="left" vertical="center"/>
    </xf>
    <xf numFmtId="0" fontId="46" fillId="8" borderId="5" xfId="0" applyFont="1" applyFill="1" applyBorder="1" applyAlignment="1">
      <alignment horizontal="left" vertical="center"/>
    </xf>
    <xf numFmtId="0" fontId="46" fillId="8" borderId="7" xfId="0" applyFont="1" applyFill="1" applyBorder="1" applyAlignment="1">
      <alignment horizontal="left" vertical="center"/>
    </xf>
    <xf numFmtId="0" fontId="46" fillId="8" borderId="6" xfId="0" applyFont="1" applyFill="1" applyBorder="1" applyAlignment="1">
      <alignment horizontal="left" vertical="top"/>
    </xf>
    <xf numFmtId="0" fontId="46" fillId="8" borderId="5" xfId="0" applyFont="1" applyFill="1" applyBorder="1" applyAlignment="1">
      <alignment horizontal="left" vertical="top"/>
    </xf>
    <xf numFmtId="0" fontId="10" fillId="8" borderId="6" xfId="0" applyFont="1" applyFill="1" applyBorder="1" applyAlignment="1">
      <alignment horizontal="left" vertical="center"/>
    </xf>
    <xf numFmtId="0" fontId="10" fillId="8" borderId="7" xfId="0" applyFont="1" applyFill="1" applyBorder="1" applyAlignment="1">
      <alignment horizontal="left" vertical="center"/>
    </xf>
    <xf numFmtId="0" fontId="10" fillId="8" borderId="5" xfId="0" applyFont="1" applyFill="1" applyBorder="1" applyAlignment="1">
      <alignment horizontal="left" vertical="center"/>
    </xf>
    <xf numFmtId="0" fontId="114" fillId="0" borderId="0" xfId="0" applyFont="1" applyBorder="1" applyAlignment="1">
      <alignment vertical="top" wrapText="1"/>
    </xf>
    <xf numFmtId="0" fontId="114" fillId="0" borderId="13" xfId="0" applyFont="1" applyBorder="1" applyAlignment="1">
      <alignment vertical="top" wrapText="1"/>
    </xf>
    <xf numFmtId="6" fontId="10" fillId="5" borderId="4" xfId="0" applyNumberFormat="1" applyFont="1" applyFill="1" applyBorder="1" applyAlignment="1" applyProtection="1">
      <alignment vertical="center"/>
      <protection locked="0"/>
    </xf>
    <xf numFmtId="0" fontId="173" fillId="0" borderId="0" xfId="0" applyFont="1" applyAlignment="1" applyProtection="1">
      <alignment horizontal="left" vertical="top"/>
      <protection locked="0"/>
    </xf>
    <xf numFmtId="6" fontId="109" fillId="7" borderId="6" xfId="0" applyNumberFormat="1" applyFont="1" applyFill="1" applyBorder="1" applyAlignment="1" applyProtection="1">
      <alignment vertical="center"/>
      <protection locked="0"/>
    </xf>
    <xf numFmtId="6" fontId="109" fillId="7" borderId="7" xfId="0" applyNumberFormat="1" applyFont="1" applyFill="1" applyBorder="1" applyAlignment="1" applyProtection="1">
      <alignment vertical="center"/>
      <protection locked="0"/>
    </xf>
    <xf numFmtId="6" fontId="109" fillId="7" borderId="5" xfId="0" applyNumberFormat="1" applyFont="1" applyFill="1" applyBorder="1" applyAlignment="1" applyProtection="1">
      <alignment vertical="center"/>
      <protection locked="0"/>
    </xf>
    <xf numFmtId="0" fontId="28" fillId="2" borderId="18" xfId="0" applyFont="1" applyFill="1" applyBorder="1" applyAlignment="1" applyProtection="1">
      <alignment horizontal="left" vertical="center"/>
      <protection locked="0"/>
    </xf>
    <xf numFmtId="0" fontId="28" fillId="2" borderId="19" xfId="0" applyFont="1" applyFill="1" applyBorder="1" applyAlignment="1" applyProtection="1">
      <alignment horizontal="left" vertical="center"/>
      <protection locked="0"/>
    </xf>
    <xf numFmtId="0" fontId="28" fillId="2" borderId="133" xfId="0" applyFont="1" applyFill="1" applyBorder="1" applyAlignment="1" applyProtection="1">
      <alignment horizontal="left" vertical="center"/>
      <protection locked="0"/>
    </xf>
    <xf numFmtId="0" fontId="1" fillId="8" borderId="6" xfId="0" applyFont="1" applyFill="1" applyBorder="1" applyAlignment="1">
      <alignment horizontal="left" vertical="center"/>
    </xf>
    <xf numFmtId="0" fontId="1" fillId="8" borderId="7" xfId="0" applyFont="1" applyFill="1" applyBorder="1" applyAlignment="1">
      <alignment horizontal="left" vertical="center"/>
    </xf>
    <xf numFmtId="0" fontId="1" fillId="8" borderId="5" xfId="0" applyFont="1" applyFill="1" applyBorder="1" applyAlignment="1">
      <alignment horizontal="left" vertical="center"/>
    </xf>
    <xf numFmtId="9" fontId="1" fillId="8" borderId="6" xfId="1" applyFont="1" applyFill="1" applyBorder="1" applyAlignment="1" applyProtection="1">
      <alignment horizontal="center" vertical="center"/>
      <protection locked="0"/>
    </xf>
    <xf numFmtId="9" fontId="1" fillId="8" borderId="5" xfId="1" applyFont="1" applyFill="1" applyBorder="1" applyAlignment="1" applyProtection="1">
      <alignment horizontal="center" vertical="center"/>
      <protection locked="0"/>
    </xf>
    <xf numFmtId="0" fontId="118" fillId="2" borderId="7" xfId="0" applyFont="1" applyFill="1" applyBorder="1" applyAlignment="1">
      <alignment horizontal="left" wrapText="1"/>
    </xf>
    <xf numFmtId="0" fontId="118" fillId="2" borderId="7" xfId="0" applyFont="1" applyFill="1" applyBorder="1" applyAlignment="1">
      <alignment horizontal="center" wrapText="1"/>
    </xf>
    <xf numFmtId="0" fontId="1" fillId="7" borderId="0" xfId="0" applyFont="1" applyFill="1" applyAlignment="1">
      <alignment horizontal="left" vertical="center"/>
    </xf>
    <xf numFmtId="0" fontId="1" fillId="7" borderId="0" xfId="0" applyFont="1" applyFill="1" applyAlignment="1" applyProtection="1">
      <alignment horizontal="right" vertical="center"/>
      <protection hidden="1"/>
    </xf>
    <xf numFmtId="0" fontId="69" fillId="2" borderId="15" xfId="0" applyFont="1" applyFill="1" applyBorder="1" applyAlignment="1">
      <alignment horizontal="center" wrapText="1"/>
    </xf>
    <xf numFmtId="0" fontId="69" fillId="2" borderId="42" xfId="0" applyFont="1" applyFill="1" applyBorder="1" applyAlignment="1">
      <alignment horizontal="center" wrapText="1"/>
    </xf>
    <xf numFmtId="0" fontId="174" fillId="2" borderId="0" xfId="0" applyFont="1" applyFill="1" applyBorder="1" applyAlignment="1">
      <alignment horizontal="left"/>
    </xf>
    <xf numFmtId="0" fontId="115" fillId="2" borderId="0" xfId="0" applyFont="1" applyFill="1" applyBorder="1" applyAlignment="1">
      <alignment horizontal="left" wrapText="1"/>
    </xf>
    <xf numFmtId="0" fontId="118" fillId="2" borderId="41" xfId="0" applyFont="1" applyFill="1" applyBorder="1" applyAlignment="1">
      <alignment horizontal="center" wrapText="1"/>
    </xf>
    <xf numFmtId="0" fontId="118" fillId="2" borderId="42" xfId="0" applyFont="1" applyFill="1" applyBorder="1" applyAlignment="1">
      <alignment horizontal="center" wrapText="1"/>
    </xf>
    <xf numFmtId="0" fontId="1" fillId="8" borderId="4" xfId="0" applyFont="1" applyFill="1" applyBorder="1" applyAlignment="1" applyProtection="1">
      <alignment horizontal="center" vertical="center"/>
      <protection locked="0"/>
    </xf>
    <xf numFmtId="0" fontId="69" fillId="2" borderId="41" xfId="0" applyFont="1" applyFill="1" applyBorder="1" applyAlignment="1">
      <alignment horizontal="left" wrapText="1"/>
    </xf>
    <xf numFmtId="0" fontId="69" fillId="2" borderId="15" xfId="0" applyFont="1" applyFill="1" applyBorder="1" applyAlignment="1">
      <alignment horizontal="left" wrapText="1"/>
    </xf>
    <xf numFmtId="0" fontId="100" fillId="7" borderId="0" xfId="0" applyFont="1" applyFill="1" applyAlignment="1">
      <alignment horizontal="left" vertical="center"/>
    </xf>
    <xf numFmtId="6" fontId="10" fillId="8" borderId="6" xfId="0" applyNumberFormat="1" applyFont="1" applyFill="1" applyBorder="1" applyAlignment="1" applyProtection="1">
      <alignment horizontal="left" vertical="center"/>
      <protection locked="0"/>
    </xf>
    <xf numFmtId="6" fontId="10" fillId="8" borderId="7" xfId="0" applyNumberFormat="1" applyFont="1" applyFill="1" applyBorder="1" applyAlignment="1" applyProtection="1">
      <alignment horizontal="left" vertical="center"/>
      <protection locked="0"/>
    </xf>
    <xf numFmtId="6" fontId="10" fillId="8" borderId="5" xfId="0" applyNumberFormat="1" applyFont="1" applyFill="1" applyBorder="1" applyAlignment="1" applyProtection="1">
      <alignment horizontal="left" vertical="center"/>
      <protection locked="0"/>
    </xf>
    <xf numFmtId="0" fontId="69" fillId="2" borderId="41" xfId="0" applyFont="1" applyFill="1" applyBorder="1" applyAlignment="1">
      <alignment horizontal="center" wrapText="1"/>
    </xf>
    <xf numFmtId="0" fontId="10" fillId="8" borderId="6" xfId="0" applyFont="1" applyFill="1" applyBorder="1" applyAlignment="1">
      <alignment horizontal="left" vertical="top" wrapText="1"/>
    </xf>
    <xf numFmtId="0" fontId="10" fillId="8" borderId="7" xfId="0" applyFont="1" applyFill="1" applyBorder="1" applyAlignment="1">
      <alignment horizontal="left" vertical="top" wrapText="1"/>
    </xf>
    <xf numFmtId="0" fontId="10" fillId="8" borderId="5" xfId="0" applyFont="1" applyFill="1" applyBorder="1" applyAlignment="1">
      <alignment horizontal="left" vertical="top" wrapText="1"/>
    </xf>
    <xf numFmtId="0" fontId="1" fillId="5" borderId="6" xfId="0" applyFont="1" applyFill="1" applyBorder="1" applyAlignment="1" applyProtection="1">
      <alignment horizontal="left" vertical="center"/>
      <protection locked="0"/>
    </xf>
    <xf numFmtId="0" fontId="1" fillId="5" borderId="7" xfId="0" applyFont="1" applyFill="1" applyBorder="1" applyAlignment="1" applyProtection="1">
      <alignment horizontal="left" vertical="center"/>
      <protection locked="0"/>
    </xf>
    <xf numFmtId="0" fontId="1" fillId="5" borderId="5" xfId="0" applyFont="1" applyFill="1" applyBorder="1" applyAlignment="1" applyProtection="1">
      <alignment horizontal="left" vertical="center"/>
      <protection locked="0"/>
    </xf>
    <xf numFmtId="0" fontId="10" fillId="8" borderId="6" xfId="0" applyFont="1" applyFill="1" applyBorder="1" applyAlignment="1" applyProtection="1">
      <alignment horizontal="center" vertical="center"/>
      <protection locked="0"/>
    </xf>
    <xf numFmtId="0" fontId="10" fillId="8" borderId="7" xfId="0" applyFont="1" applyFill="1" applyBorder="1" applyAlignment="1" applyProtection="1">
      <alignment horizontal="center" vertical="center"/>
      <protection locked="0"/>
    </xf>
    <xf numFmtId="14" fontId="10" fillId="8" borderId="6" xfId="0" applyNumberFormat="1" applyFont="1" applyFill="1" applyBorder="1" applyAlignment="1" applyProtection="1">
      <alignment horizontal="center" vertical="center"/>
      <protection locked="0"/>
    </xf>
    <xf numFmtId="14" fontId="10" fillId="8" borderId="7" xfId="0" applyNumberFormat="1" applyFont="1" applyFill="1" applyBorder="1" applyAlignment="1" applyProtection="1">
      <alignment horizontal="center" vertical="center"/>
      <protection locked="0"/>
    </xf>
    <xf numFmtId="14" fontId="10" fillId="8" borderId="5" xfId="0" applyNumberFormat="1" applyFont="1" applyFill="1" applyBorder="1" applyAlignment="1" applyProtection="1">
      <alignment horizontal="center" vertical="center"/>
      <protection locked="0"/>
    </xf>
    <xf numFmtId="0" fontId="118" fillId="2" borderId="10" xfId="0" applyFont="1" applyFill="1" applyBorder="1" applyAlignment="1">
      <alignment horizontal="left" wrapText="1"/>
    </xf>
    <xf numFmtId="0" fontId="69" fillId="2" borderId="42" xfId="0" applyFont="1" applyFill="1" applyBorder="1" applyAlignment="1">
      <alignment horizontal="left" wrapText="1"/>
    </xf>
    <xf numFmtId="0" fontId="174" fillId="2" borderId="0" xfId="0" applyFont="1" applyFill="1" applyBorder="1" applyAlignment="1">
      <alignment horizontal="left" vertical="center"/>
    </xf>
    <xf numFmtId="0" fontId="1" fillId="9" borderId="6" xfId="0" applyFont="1" applyFill="1" applyBorder="1" applyAlignment="1">
      <alignment horizontal="left" vertical="top"/>
    </xf>
    <xf numFmtId="0" fontId="1" fillId="9" borderId="7" xfId="0" applyFont="1" applyFill="1" applyBorder="1" applyAlignment="1">
      <alignment horizontal="left" vertical="top"/>
    </xf>
    <xf numFmtId="0" fontId="1" fillId="9" borderId="15" xfId="0" applyFont="1" applyFill="1" applyBorder="1" applyAlignment="1">
      <alignment horizontal="left" vertical="top"/>
    </xf>
    <xf numFmtId="0" fontId="1" fillId="9" borderId="16" xfId="0" applyFont="1" applyFill="1" applyBorder="1" applyAlignment="1">
      <alignment horizontal="left" vertical="top"/>
    </xf>
    <xf numFmtId="0" fontId="118" fillId="2" borderId="9" xfId="0" applyFont="1" applyFill="1" applyBorder="1" applyAlignment="1">
      <alignment horizontal="center" vertical="top" wrapText="1"/>
    </xf>
    <xf numFmtId="0" fontId="118" fillId="2" borderId="10" xfId="0" applyFont="1" applyFill="1" applyBorder="1" applyAlignment="1">
      <alignment horizontal="center" vertical="top" wrapText="1"/>
    </xf>
    <xf numFmtId="0" fontId="118" fillId="2" borderId="11" xfId="0" applyFont="1" applyFill="1" applyBorder="1" applyAlignment="1">
      <alignment horizontal="center" vertical="top" wrapText="1"/>
    </xf>
    <xf numFmtId="49" fontId="1" fillId="8" borderId="6" xfId="0" applyNumberFormat="1" applyFont="1" applyFill="1" applyBorder="1" applyAlignment="1" applyProtection="1">
      <alignment horizontal="left" vertical="center"/>
      <protection locked="0"/>
    </xf>
    <xf numFmtId="49" fontId="1" fillId="8" borderId="7" xfId="0" applyNumberFormat="1" applyFont="1" applyFill="1" applyBorder="1" applyAlignment="1" applyProtection="1">
      <alignment horizontal="left" vertical="center"/>
      <protection locked="0"/>
    </xf>
    <xf numFmtId="49" fontId="1" fillId="8" borderId="5" xfId="0" applyNumberFormat="1" applyFont="1" applyFill="1" applyBorder="1" applyAlignment="1" applyProtection="1">
      <alignment horizontal="left" vertical="center"/>
      <protection locked="0"/>
    </xf>
    <xf numFmtId="0" fontId="69" fillId="2" borderId="0" xfId="0" applyFont="1" applyFill="1" applyBorder="1" applyAlignment="1" applyProtection="1">
      <alignment horizontal="left" vertical="center" wrapText="1"/>
    </xf>
    <xf numFmtId="0" fontId="105" fillId="11" borderId="6" xfId="0" quotePrefix="1" applyFont="1" applyFill="1" applyBorder="1" applyAlignment="1" applyProtection="1">
      <alignment horizontal="left" vertical="center"/>
    </xf>
    <xf numFmtId="0" fontId="105" fillId="11" borderId="7" xfId="0" applyFont="1" applyFill="1" applyBorder="1" applyAlignment="1" applyProtection="1">
      <alignment horizontal="left" vertical="center"/>
    </xf>
    <xf numFmtId="0" fontId="104" fillId="8" borderId="6" xfId="0" applyFont="1" applyFill="1" applyBorder="1" applyAlignment="1" applyProtection="1">
      <alignment horizontal="center" vertical="center"/>
      <protection locked="0"/>
    </xf>
    <xf numFmtId="0" fontId="104" fillId="8" borderId="5" xfId="0" applyFont="1" applyFill="1" applyBorder="1" applyAlignment="1" applyProtection="1">
      <alignment horizontal="center" vertical="center"/>
      <protection locked="0"/>
    </xf>
    <xf numFmtId="6" fontId="104" fillId="8" borderId="6" xfId="0" applyNumberFormat="1" applyFont="1" applyFill="1" applyBorder="1" applyAlignment="1" applyProtection="1">
      <alignment horizontal="right" vertical="center"/>
      <protection locked="0"/>
    </xf>
    <xf numFmtId="6" fontId="104" fillId="8" borderId="5" xfId="0" applyNumberFormat="1" applyFont="1" applyFill="1" applyBorder="1" applyAlignment="1" applyProtection="1">
      <alignment horizontal="right" vertical="center"/>
      <protection locked="0"/>
    </xf>
    <xf numFmtId="164" fontId="104" fillId="8" borderId="6" xfId="1" applyNumberFormat="1" applyFont="1" applyFill="1" applyBorder="1" applyAlignment="1" applyProtection="1">
      <alignment horizontal="center" vertical="center"/>
      <protection locked="0"/>
    </xf>
    <xf numFmtId="164" fontId="104" fillId="8" borderId="5" xfId="1" applyNumberFormat="1" applyFont="1" applyFill="1" applyBorder="1" applyAlignment="1" applyProtection="1">
      <alignment horizontal="center" vertical="center"/>
      <protection locked="0"/>
    </xf>
    <xf numFmtId="6" fontId="105" fillId="11" borderId="4" xfId="0" applyNumberFormat="1" applyFont="1" applyFill="1" applyBorder="1" applyAlignment="1" applyProtection="1">
      <alignment horizontal="right" vertical="center"/>
    </xf>
    <xf numFmtId="0" fontId="34" fillId="11" borderId="4" xfId="0" applyFont="1" applyFill="1" applyBorder="1" applyAlignment="1" applyProtection="1">
      <alignment horizontal="left" vertical="center"/>
    </xf>
    <xf numFmtId="0" fontId="36" fillId="8" borderId="6" xfId="0" applyFont="1" applyFill="1" applyBorder="1" applyAlignment="1" applyProtection="1">
      <alignment vertical="center"/>
      <protection locked="0"/>
    </xf>
    <xf numFmtId="0" fontId="36" fillId="8" borderId="7" xfId="0" applyFont="1" applyFill="1" applyBorder="1" applyAlignment="1" applyProtection="1">
      <alignment vertical="center"/>
      <protection locked="0"/>
    </xf>
    <xf numFmtId="0" fontId="36" fillId="8" borderId="5" xfId="0" applyFont="1" applyFill="1" applyBorder="1" applyAlignment="1" applyProtection="1">
      <alignment vertical="center"/>
      <protection locked="0"/>
    </xf>
    <xf numFmtId="0" fontId="133" fillId="0" borderId="145" xfId="0" applyFont="1" applyBorder="1" applyAlignment="1">
      <alignment horizontal="left" vertical="center"/>
    </xf>
    <xf numFmtId="6" fontId="55" fillId="11" borderId="7" xfId="0" applyNumberFormat="1" applyFont="1" applyFill="1" applyBorder="1" applyAlignment="1" applyProtection="1">
      <alignment horizontal="right" vertical="center"/>
    </xf>
    <xf numFmtId="6" fontId="55" fillId="11" borderId="5" xfId="0" applyNumberFormat="1" applyFont="1" applyFill="1" applyBorder="1" applyAlignment="1" applyProtection="1">
      <alignment horizontal="right" vertical="center"/>
    </xf>
    <xf numFmtId="0" fontId="118" fillId="2" borderId="22" xfId="0" applyFont="1" applyFill="1" applyBorder="1" applyAlignment="1" applyProtection="1">
      <alignment horizontal="center" wrapText="1"/>
    </xf>
    <xf numFmtId="0" fontId="118" fillId="2" borderId="22" xfId="0" applyFont="1" applyFill="1" applyBorder="1" applyAlignment="1" applyProtection="1">
      <alignment horizontal="left" wrapText="1"/>
    </xf>
    <xf numFmtId="0" fontId="36" fillId="8" borderId="6" xfId="0" applyFont="1" applyFill="1" applyBorder="1" applyAlignment="1" applyProtection="1">
      <alignment horizontal="left" vertical="center"/>
      <protection locked="0"/>
    </xf>
    <xf numFmtId="0" fontId="36" fillId="8" borderId="7" xfId="0" applyFont="1" applyFill="1" applyBorder="1" applyAlignment="1" applyProtection="1">
      <alignment horizontal="left" vertical="center"/>
      <protection locked="0"/>
    </xf>
    <xf numFmtId="0" fontId="36" fillId="8" borderId="5" xfId="0" applyFont="1" applyFill="1" applyBorder="1" applyAlignment="1" applyProtection="1">
      <alignment horizontal="left" vertical="center"/>
      <protection locked="0"/>
    </xf>
    <xf numFmtId="0" fontId="36" fillId="8" borderId="4" xfId="0" applyFont="1" applyFill="1" applyBorder="1" applyAlignment="1" applyProtection="1">
      <alignment horizontal="left" vertical="center"/>
      <protection locked="0"/>
    </xf>
    <xf numFmtId="6" fontId="36" fillId="8" borderId="6" xfId="0" applyNumberFormat="1" applyFont="1" applyFill="1" applyBorder="1" applyAlignment="1" applyProtection="1">
      <alignment horizontal="right" vertical="center"/>
      <protection locked="0"/>
    </xf>
    <xf numFmtId="6" fontId="36" fillId="8" borderId="5" xfId="0" applyNumberFormat="1" applyFont="1" applyFill="1" applyBorder="1" applyAlignment="1" applyProtection="1">
      <alignment horizontal="right" vertical="center"/>
      <protection locked="0"/>
    </xf>
    <xf numFmtId="0" fontId="118" fillId="2" borderId="15" xfId="0" applyFont="1" applyFill="1" applyBorder="1" applyAlignment="1" applyProtection="1">
      <alignment horizontal="center" wrapText="1"/>
    </xf>
    <xf numFmtId="0" fontId="118" fillId="2" borderId="15" xfId="0" applyFont="1" applyFill="1" applyBorder="1" applyAlignment="1" applyProtection="1">
      <alignment horizontal="right" wrapText="1"/>
    </xf>
    <xf numFmtId="6" fontId="104" fillId="8" borderId="7" xfId="0" applyNumberFormat="1" applyFont="1" applyFill="1" applyBorder="1" applyAlignment="1" applyProtection="1">
      <alignment horizontal="right" vertical="center"/>
      <protection locked="0"/>
    </xf>
    <xf numFmtId="0" fontId="118" fillId="2" borderId="0" xfId="0" applyFont="1" applyFill="1" applyBorder="1" applyAlignment="1" applyProtection="1">
      <alignment horizontal="left" vertical="top" wrapText="1"/>
    </xf>
    <xf numFmtId="0" fontId="118" fillId="2" borderId="0" xfId="0" applyFont="1" applyFill="1" applyBorder="1" applyAlignment="1" applyProtection="1">
      <alignment horizontal="right" vertical="top" wrapText="1"/>
    </xf>
    <xf numFmtId="10" fontId="104" fillId="8" borderId="6" xfId="1" applyNumberFormat="1" applyFont="1" applyFill="1" applyBorder="1" applyAlignment="1" applyProtection="1">
      <alignment horizontal="center" vertical="center"/>
      <protection locked="0"/>
    </xf>
    <xf numFmtId="10" fontId="104" fillId="8" borderId="5" xfId="1" applyNumberFormat="1" applyFont="1" applyFill="1" applyBorder="1" applyAlignment="1" applyProtection="1">
      <alignment horizontal="center" vertical="center"/>
      <protection locked="0"/>
    </xf>
    <xf numFmtId="1" fontId="36" fillId="8" borderId="6" xfId="1" applyNumberFormat="1" applyFont="1" applyFill="1" applyBorder="1" applyAlignment="1" applyProtection="1">
      <alignment horizontal="center" vertical="center"/>
      <protection locked="0"/>
    </xf>
    <xf numFmtId="1" fontId="36" fillId="8" borderId="5" xfId="1" applyNumberFormat="1" applyFont="1" applyFill="1" applyBorder="1" applyAlignment="1" applyProtection="1">
      <alignment horizontal="center" vertical="center"/>
      <protection locked="0"/>
    </xf>
    <xf numFmtId="0" fontId="126" fillId="7" borderId="0" xfId="0" applyFont="1" applyFill="1" applyAlignment="1">
      <alignment horizontal="left" vertical="center"/>
    </xf>
    <xf numFmtId="0" fontId="29" fillId="0" borderId="6" xfId="0" applyFont="1" applyFill="1" applyBorder="1" applyAlignment="1" applyProtection="1">
      <alignment horizontal="left" vertical="center" wrapText="1"/>
      <protection locked="0"/>
    </xf>
    <xf numFmtId="0" fontId="29" fillId="0" borderId="7" xfId="0" applyFont="1" applyFill="1" applyBorder="1" applyAlignment="1" applyProtection="1">
      <alignment horizontal="left" vertical="center" wrapText="1"/>
      <protection locked="0"/>
    </xf>
    <xf numFmtId="0" fontId="29" fillId="0" borderId="5" xfId="0" applyFont="1" applyFill="1" applyBorder="1" applyAlignment="1" applyProtection="1">
      <alignment horizontal="left" vertical="center" wrapText="1"/>
      <protection locked="0"/>
    </xf>
    <xf numFmtId="0" fontId="20" fillId="0" borderId="0" xfId="0" applyFont="1" applyBorder="1" applyAlignment="1" applyProtection="1">
      <alignment horizontal="left" vertical="top" wrapText="1"/>
    </xf>
    <xf numFmtId="0" fontId="20" fillId="0" borderId="10" xfId="0" applyFont="1" applyBorder="1" applyAlignment="1" applyProtection="1">
      <alignment horizontal="left" vertical="top"/>
    </xf>
    <xf numFmtId="0" fontId="11" fillId="7" borderId="0" xfId="0" applyFont="1" applyFill="1" applyAlignment="1" applyProtection="1">
      <alignment horizontal="left" vertical="center"/>
      <protection hidden="1"/>
    </xf>
    <xf numFmtId="0" fontId="118" fillId="2" borderId="22" xfId="0" applyFont="1" applyFill="1" applyBorder="1" applyAlignment="1" applyProtection="1">
      <alignment wrapText="1"/>
    </xf>
    <xf numFmtId="0" fontId="118" fillId="2" borderId="0" xfId="0" applyFont="1" applyFill="1" applyBorder="1" applyAlignment="1" applyProtection="1">
      <alignment horizontal="left" wrapText="1"/>
    </xf>
    <xf numFmtId="10" fontId="118" fillId="2" borderId="0" xfId="0" applyNumberFormat="1" applyFont="1" applyFill="1" applyBorder="1" applyAlignment="1" applyProtection="1">
      <alignment horizontal="center" wrapText="1"/>
    </xf>
    <xf numFmtId="0" fontId="74" fillId="8" borderId="0" xfId="0" applyFont="1" applyFill="1" applyBorder="1" applyAlignment="1">
      <alignment horizontal="left" vertical="center"/>
    </xf>
    <xf numFmtId="167" fontId="11" fillId="8" borderId="0" xfId="3" applyNumberFormat="1" applyFont="1" applyFill="1" applyBorder="1" applyAlignment="1">
      <alignment horizontal="left" vertical="center"/>
    </xf>
    <xf numFmtId="0" fontId="118" fillId="2" borderId="0" xfId="0" applyFont="1" applyFill="1" applyBorder="1" applyAlignment="1" applyProtection="1">
      <alignment horizontal="center" wrapText="1"/>
    </xf>
    <xf numFmtId="0" fontId="118" fillId="2" borderId="15" xfId="0" applyFont="1" applyFill="1" applyBorder="1" applyAlignment="1" applyProtection="1">
      <alignment horizontal="left" wrapText="1"/>
    </xf>
    <xf numFmtId="0" fontId="3" fillId="7" borderId="22" xfId="0" applyFont="1" applyFill="1" applyBorder="1" applyAlignment="1" applyProtection="1">
      <alignment horizontal="left" vertical="center" wrapText="1"/>
      <protection hidden="1"/>
    </xf>
    <xf numFmtId="0" fontId="118" fillId="2" borderId="2" xfId="0" applyFont="1" applyFill="1" applyBorder="1" applyAlignment="1" applyProtection="1">
      <alignment horizontal="center" wrapText="1"/>
    </xf>
    <xf numFmtId="0" fontId="125" fillId="0" borderId="0" xfId="0" applyFont="1" applyBorder="1" applyAlignment="1">
      <alignment horizontal="left" vertical="center"/>
    </xf>
    <xf numFmtId="0" fontId="118" fillId="2" borderId="2" xfId="0" applyFont="1" applyFill="1" applyBorder="1" applyAlignment="1" applyProtection="1">
      <alignment horizontal="left" wrapText="1"/>
    </xf>
    <xf numFmtId="167" fontId="20" fillId="0" borderId="0" xfId="3" applyNumberFormat="1" applyFont="1" applyAlignment="1" applyProtection="1">
      <alignment horizontal="center" vertical="center"/>
    </xf>
    <xf numFmtId="0" fontId="20" fillId="0" borderId="0" xfId="0" applyFont="1" applyAlignment="1" applyProtection="1">
      <alignment horizontal="center" vertical="center"/>
    </xf>
    <xf numFmtId="0" fontId="20" fillId="0" borderId="0" xfId="0" applyFont="1" applyAlignment="1" applyProtection="1">
      <alignment horizontal="right" vertical="center"/>
    </xf>
    <xf numFmtId="0" fontId="194" fillId="0" borderId="145" xfId="0" applyFont="1" applyBorder="1" applyAlignment="1" applyProtection="1">
      <alignment horizontal="left" vertical="center"/>
    </xf>
    <xf numFmtId="167" fontId="91" fillId="8" borderId="6" xfId="0" applyNumberFormat="1" applyFont="1" applyFill="1" applyBorder="1" applyAlignment="1" applyProtection="1">
      <alignment horizontal="center" vertical="center" wrapText="1"/>
      <protection locked="0"/>
    </xf>
    <xf numFmtId="167" fontId="91" fillId="8" borderId="7" xfId="0" applyNumberFormat="1" applyFont="1" applyFill="1" applyBorder="1" applyAlignment="1" applyProtection="1">
      <alignment horizontal="center" vertical="center" wrapText="1"/>
      <protection locked="0"/>
    </xf>
    <xf numFmtId="167" fontId="91" fillId="8" borderId="5" xfId="0" applyNumberFormat="1" applyFont="1" applyFill="1" applyBorder="1" applyAlignment="1" applyProtection="1">
      <alignment horizontal="center" vertical="center" wrapText="1"/>
      <protection locked="0"/>
    </xf>
    <xf numFmtId="167" fontId="117" fillId="0" borderId="6" xfId="0" applyNumberFormat="1" applyFont="1" applyBorder="1" applyAlignment="1" applyProtection="1">
      <alignment horizontal="center" vertical="center" wrapText="1"/>
    </xf>
    <xf numFmtId="167" fontId="117" fillId="0" borderId="7" xfId="0" applyNumberFormat="1" applyFont="1" applyBorder="1" applyAlignment="1" applyProtection="1">
      <alignment horizontal="center" vertical="center" wrapText="1"/>
    </xf>
    <xf numFmtId="167" fontId="117" fillId="0" borderId="5" xfId="0" applyNumberFormat="1" applyFont="1" applyBorder="1" applyAlignment="1" applyProtection="1">
      <alignment horizontal="center" vertical="center" wrapText="1"/>
    </xf>
    <xf numFmtId="167" fontId="0" fillId="8" borderId="6" xfId="0" applyNumberFormat="1" applyFont="1" applyFill="1" applyBorder="1" applyAlignment="1" applyProtection="1">
      <alignment horizontal="center" vertical="center" wrapText="1"/>
      <protection locked="0"/>
    </xf>
    <xf numFmtId="167" fontId="0" fillId="8" borderId="5" xfId="0" applyNumberFormat="1" applyFont="1" applyFill="1" applyBorder="1" applyAlignment="1" applyProtection="1">
      <alignment horizontal="center" vertical="center" wrapText="1"/>
      <protection locked="0"/>
    </xf>
    <xf numFmtId="0" fontId="91" fillId="8" borderId="6" xfId="0" applyFont="1" applyFill="1" applyBorder="1" applyAlignment="1" applyProtection="1">
      <alignment horizontal="left" vertical="center" wrapText="1"/>
    </xf>
    <xf numFmtId="0" fontId="91" fillId="8" borderId="7" xfId="0" applyFont="1" applyFill="1" applyBorder="1" applyAlignment="1" applyProtection="1">
      <alignment horizontal="left" vertical="center" wrapText="1"/>
    </xf>
    <xf numFmtId="0" fontId="1" fillId="8" borderId="7" xfId="0" applyFont="1" applyFill="1" applyBorder="1" applyAlignment="1" applyProtection="1">
      <alignment horizontal="left" vertical="center" wrapText="1"/>
      <protection locked="0"/>
    </xf>
    <xf numFmtId="0" fontId="1" fillId="8" borderId="5" xfId="0" applyFont="1" applyFill="1" applyBorder="1" applyAlignment="1" applyProtection="1">
      <alignment horizontal="left" vertical="center" wrapText="1"/>
      <protection locked="0"/>
    </xf>
    <xf numFmtId="0" fontId="120" fillId="0" borderId="15" xfId="0" applyFont="1" applyFill="1" applyBorder="1" applyAlignment="1" applyProtection="1">
      <alignment horizontal="left" vertical="center" wrapText="1"/>
    </xf>
    <xf numFmtId="0" fontId="5" fillId="7" borderId="0" xfId="0" applyFont="1" applyFill="1" applyBorder="1" applyAlignment="1" applyProtection="1">
      <alignment horizontal="left"/>
    </xf>
    <xf numFmtId="0" fontId="0" fillId="12" borderId="36" xfId="0" applyFill="1" applyBorder="1" applyAlignment="1" applyProtection="1">
      <alignment horizontal="center"/>
    </xf>
    <xf numFmtId="6" fontId="1" fillId="7" borderId="0" xfId="0" applyNumberFormat="1" applyFont="1" applyFill="1" applyBorder="1" applyAlignment="1" applyProtection="1">
      <alignment horizontal="left" vertical="center" wrapText="1"/>
    </xf>
    <xf numFmtId="6" fontId="1" fillId="7" borderId="0" xfId="0" applyNumberFormat="1" applyFont="1" applyFill="1" applyBorder="1" applyAlignment="1" applyProtection="1">
      <alignment horizontal="right" vertical="center" wrapText="1"/>
    </xf>
    <xf numFmtId="0" fontId="124" fillId="8" borderId="0" xfId="0" applyFont="1" applyFill="1" applyBorder="1" applyAlignment="1" applyProtection="1">
      <alignment horizontal="left" vertical="center" wrapText="1"/>
    </xf>
    <xf numFmtId="0" fontId="129" fillId="8" borderId="0" xfId="0" applyFont="1" applyFill="1" applyBorder="1" applyAlignment="1" applyProtection="1">
      <alignment horizontal="center" vertical="center"/>
    </xf>
    <xf numFmtId="0" fontId="129" fillId="8" borderId="0" xfId="0" applyFont="1" applyFill="1" applyBorder="1" applyAlignment="1" applyProtection="1">
      <alignment horizontal="right" vertical="center"/>
    </xf>
    <xf numFmtId="0" fontId="1" fillId="8" borderId="0" xfId="0" applyFont="1" applyFill="1" applyBorder="1" applyAlignment="1" applyProtection="1">
      <alignment horizontal="left" vertical="center"/>
    </xf>
    <xf numFmtId="6" fontId="1" fillId="8" borderId="0" xfId="0" applyNumberFormat="1" applyFont="1" applyFill="1" applyBorder="1" applyAlignment="1" applyProtection="1">
      <alignment horizontal="right" vertical="center"/>
    </xf>
    <xf numFmtId="0" fontId="173" fillId="0" borderId="15" xfId="0" applyFont="1" applyBorder="1" applyAlignment="1" applyProtection="1">
      <alignment horizontal="left"/>
    </xf>
    <xf numFmtId="0" fontId="129" fillId="0" borderId="0" xfId="0" applyFont="1" applyFill="1" applyBorder="1" applyAlignment="1" applyProtection="1">
      <alignment horizontal="center"/>
    </xf>
    <xf numFmtId="0" fontId="117" fillId="8" borderId="6" xfId="0" applyFont="1" applyFill="1" applyBorder="1" applyAlignment="1" applyProtection="1">
      <alignment horizontal="left" vertical="center" wrapText="1"/>
    </xf>
    <xf numFmtId="0" fontId="117" fillId="8" borderId="7" xfId="0" applyFont="1" applyFill="1" applyBorder="1" applyAlignment="1" applyProtection="1">
      <alignment horizontal="left" vertical="center" wrapText="1"/>
    </xf>
    <xf numFmtId="167" fontId="63" fillId="8" borderId="6" xfId="0" applyNumberFormat="1" applyFont="1" applyFill="1" applyBorder="1" applyAlignment="1" applyProtection="1">
      <alignment horizontal="center" vertical="center" wrapText="1"/>
      <protection locked="0"/>
    </xf>
    <xf numFmtId="167" fontId="63" fillId="8" borderId="5" xfId="0" applyNumberFormat="1" applyFont="1" applyFill="1" applyBorder="1" applyAlignment="1" applyProtection="1">
      <alignment horizontal="center" vertical="center" wrapText="1"/>
      <protection locked="0"/>
    </xf>
    <xf numFmtId="0" fontId="129" fillId="0" borderId="15" xfId="0" applyFont="1" applyFill="1" applyBorder="1" applyAlignment="1" applyProtection="1">
      <alignment horizontal="left"/>
    </xf>
    <xf numFmtId="0" fontId="69" fillId="8" borderId="7" xfId="0" applyFont="1" applyFill="1" applyBorder="1" applyAlignment="1" applyProtection="1">
      <alignment horizontal="left" vertical="center" wrapText="1"/>
      <protection locked="0"/>
    </xf>
    <xf numFmtId="0" fontId="69" fillId="8" borderId="5" xfId="0" applyFont="1" applyFill="1" applyBorder="1" applyAlignment="1" applyProtection="1">
      <alignment horizontal="left" vertical="center" wrapText="1"/>
      <protection locked="0"/>
    </xf>
    <xf numFmtId="0" fontId="147" fillId="5" borderId="12" xfId="0" applyFont="1" applyFill="1" applyBorder="1" applyAlignment="1" applyProtection="1">
      <alignment horizontal="left" vertical="center" wrapText="1"/>
    </xf>
    <xf numFmtId="0" fontId="147" fillId="5" borderId="0" xfId="0" applyFont="1" applyFill="1" applyBorder="1" applyAlignment="1" applyProtection="1">
      <alignment horizontal="left" vertical="center" wrapText="1"/>
    </xf>
    <xf numFmtId="167" fontId="147" fillId="5" borderId="6" xfId="0" applyNumberFormat="1" applyFont="1" applyFill="1" applyBorder="1" applyAlignment="1" applyProtection="1">
      <alignment horizontal="center" vertical="center" wrapText="1"/>
    </xf>
    <xf numFmtId="167" fontId="147" fillId="5" borderId="7" xfId="0" applyNumberFormat="1" applyFont="1" applyFill="1" applyBorder="1" applyAlignment="1" applyProtection="1">
      <alignment horizontal="center" vertical="center" wrapText="1"/>
    </xf>
    <xf numFmtId="167" fontId="147" fillId="5" borderId="5" xfId="0" applyNumberFormat="1" applyFont="1" applyFill="1" applyBorder="1" applyAlignment="1" applyProtection="1">
      <alignment horizontal="center" vertical="center" wrapText="1"/>
    </xf>
    <xf numFmtId="0" fontId="150" fillId="0" borderId="0" xfId="0" applyFont="1" applyBorder="1" applyAlignment="1" applyProtection="1">
      <alignment horizontal="left"/>
    </xf>
    <xf numFmtId="0" fontId="120" fillId="2" borderId="15" xfId="0" applyFont="1" applyFill="1" applyBorder="1" applyAlignment="1" applyProtection="1">
      <alignment horizontal="left" wrapText="1"/>
    </xf>
    <xf numFmtId="167" fontId="46" fillId="5" borderId="10" xfId="0" applyNumberFormat="1" applyFont="1" applyFill="1" applyBorder="1" applyAlignment="1" applyProtection="1">
      <alignment horizontal="right" vertical="center"/>
      <protection locked="0"/>
    </xf>
    <xf numFmtId="10" fontId="20" fillId="0" borderId="0" xfId="1" applyNumberFormat="1" applyFont="1" applyFill="1" applyBorder="1" applyAlignment="1" applyProtection="1">
      <alignment horizontal="center"/>
    </xf>
    <xf numFmtId="167" fontId="28" fillId="0" borderId="0" xfId="0" applyNumberFormat="1" applyFont="1" applyFill="1" applyBorder="1" applyAlignment="1" applyProtection="1">
      <alignment horizontal="right" vertical="center"/>
      <protection locked="0"/>
    </xf>
    <xf numFmtId="167" fontId="28" fillId="0" borderId="0" xfId="0" applyNumberFormat="1" applyFont="1" applyFill="1" applyBorder="1" applyAlignment="1" applyProtection="1">
      <alignment horizontal="right" vertical="center"/>
    </xf>
    <xf numFmtId="0" fontId="120" fillId="0" borderId="41" xfId="0" applyFont="1" applyBorder="1" applyAlignment="1" applyProtection="1">
      <alignment horizontal="left"/>
    </xf>
    <xf numFmtId="0" fontId="120" fillId="0" borderId="15" xfId="0" applyFont="1" applyBorder="1" applyAlignment="1" applyProtection="1">
      <alignment horizontal="left"/>
    </xf>
    <xf numFmtId="167" fontId="1" fillId="0" borderId="0" xfId="0" applyNumberFormat="1" applyFont="1" applyFill="1" applyBorder="1" applyAlignment="1" applyProtection="1">
      <alignment horizontal="right" vertical="center"/>
    </xf>
    <xf numFmtId="0" fontId="1" fillId="9" borderId="0" xfId="0" applyFont="1" applyFill="1" applyBorder="1" applyAlignment="1" applyProtection="1">
      <alignment horizontal="left" vertical="center"/>
    </xf>
    <xf numFmtId="167" fontId="1" fillId="0" borderId="0" xfId="0" applyNumberFormat="1" applyFont="1" applyFill="1" applyBorder="1" applyAlignment="1" applyProtection="1">
      <alignment horizontal="right" vertical="center"/>
      <protection locked="0"/>
    </xf>
    <xf numFmtId="10" fontId="22" fillId="8" borderId="174" xfId="1" applyNumberFormat="1" applyFont="1" applyFill="1" applyBorder="1" applyAlignment="1" applyProtection="1">
      <alignment horizontal="center" vertical="center"/>
      <protection locked="0"/>
    </xf>
    <xf numFmtId="1" fontId="22" fillId="8" borderId="174" xfId="1" applyNumberFormat="1" applyFont="1" applyFill="1" applyBorder="1" applyAlignment="1" applyProtection="1">
      <alignment horizontal="center" vertical="center"/>
      <protection locked="0"/>
    </xf>
    <xf numFmtId="0" fontId="197" fillId="0" borderId="0" xfId="0" applyFont="1" applyAlignment="1" applyProtection="1">
      <alignment horizontal="left" vertical="center" wrapText="1"/>
    </xf>
    <xf numFmtId="0" fontId="196" fillId="0" borderId="0" xfId="0" applyFont="1" applyBorder="1" applyAlignment="1" applyProtection="1">
      <alignment horizontal="left" vertical="center" wrapText="1"/>
    </xf>
    <xf numFmtId="0" fontId="46" fillId="5" borderId="143" xfId="0" applyFont="1" applyFill="1" applyBorder="1" applyAlignment="1" applyProtection="1">
      <alignment horizontal="right" vertical="center" wrapText="1"/>
    </xf>
    <xf numFmtId="6" fontId="46" fillId="5" borderId="144" xfId="0" applyNumberFormat="1" applyFont="1" applyFill="1" applyBorder="1" applyAlignment="1" applyProtection="1">
      <alignment horizontal="right" vertical="center"/>
    </xf>
    <xf numFmtId="6" fontId="1" fillId="9" borderId="0" xfId="0" applyNumberFormat="1" applyFont="1" applyFill="1" applyBorder="1" applyAlignment="1" applyProtection="1">
      <alignment horizontal="right" vertical="center"/>
    </xf>
    <xf numFmtId="0" fontId="120" fillId="2" borderId="0" xfId="0" applyFont="1" applyFill="1" applyBorder="1" applyAlignment="1" applyProtection="1">
      <alignment horizontal="right" wrapText="1"/>
    </xf>
    <xf numFmtId="0" fontId="120" fillId="2" borderId="15" xfId="0" applyFont="1" applyFill="1" applyBorder="1" applyAlignment="1" applyProtection="1">
      <alignment horizontal="right" wrapText="1"/>
    </xf>
    <xf numFmtId="14" fontId="1" fillId="9" borderId="0" xfId="0" applyNumberFormat="1" applyFont="1" applyFill="1" applyBorder="1" applyAlignment="1" applyProtection="1">
      <alignment horizontal="left" vertical="center"/>
    </xf>
    <xf numFmtId="6" fontId="1" fillId="9" borderId="0" xfId="0" applyNumberFormat="1" applyFont="1" applyFill="1" applyBorder="1" applyAlignment="1" applyProtection="1">
      <alignment horizontal="left" vertical="center"/>
    </xf>
    <xf numFmtId="10" fontId="120" fillId="2" borderId="0" xfId="0" applyNumberFormat="1" applyFont="1" applyFill="1" applyBorder="1" applyAlignment="1" applyProtection="1">
      <alignment horizontal="center" wrapText="1"/>
    </xf>
    <xf numFmtId="0" fontId="46" fillId="5" borderId="143" xfId="0" applyFont="1" applyFill="1" applyBorder="1" applyAlignment="1" applyProtection="1">
      <alignment horizontal="left" vertical="center" wrapText="1"/>
    </xf>
    <xf numFmtId="0" fontId="5" fillId="0" borderId="0" xfId="0" applyFont="1" applyFill="1" applyBorder="1" applyAlignment="1">
      <alignment horizontal="left"/>
    </xf>
    <xf numFmtId="1" fontId="106" fillId="27" borderId="246" xfId="0" applyNumberFormat="1" applyFont="1" applyFill="1" applyBorder="1" applyAlignment="1">
      <alignment horizontal="center"/>
    </xf>
    <xf numFmtId="1" fontId="106" fillId="27" borderId="247" xfId="0" applyNumberFormat="1" applyFont="1" applyFill="1" applyBorder="1" applyAlignment="1">
      <alignment horizontal="center"/>
    </xf>
    <xf numFmtId="1" fontId="106" fillId="27" borderId="248" xfId="0" applyNumberFormat="1" applyFont="1" applyFill="1" applyBorder="1" applyAlignment="1">
      <alignment horizontal="center"/>
    </xf>
    <xf numFmtId="6" fontId="28" fillId="9" borderId="0" xfId="0" applyNumberFormat="1" applyFont="1" applyFill="1" applyBorder="1" applyAlignment="1" applyProtection="1">
      <alignment horizontal="right" vertical="center"/>
    </xf>
    <xf numFmtId="1" fontId="1" fillId="0" borderId="0" xfId="1" applyNumberFormat="1" applyFont="1" applyFill="1" applyBorder="1" applyAlignment="1" applyProtection="1">
      <alignment horizontal="center" vertical="center"/>
    </xf>
    <xf numFmtId="10" fontId="1" fillId="0" borderId="0" xfId="1" applyNumberFormat="1" applyFont="1" applyFill="1" applyBorder="1" applyAlignment="1" applyProtection="1">
      <alignment horizontal="center" vertical="center"/>
      <protection locked="0"/>
    </xf>
    <xf numFmtId="1" fontId="1" fillId="0" borderId="0" xfId="1" applyNumberFormat="1" applyFont="1" applyFill="1" applyBorder="1" applyAlignment="1" applyProtection="1">
      <alignment horizontal="center" vertical="center"/>
      <protection locked="0"/>
    </xf>
    <xf numFmtId="0" fontId="133" fillId="0" borderId="145" xfId="0" applyFont="1" applyBorder="1" applyAlignment="1" applyProtection="1">
      <alignment horizontal="left" vertical="center"/>
    </xf>
    <xf numFmtId="0" fontId="120" fillId="0" borderId="26" xfId="0" applyFont="1" applyBorder="1" applyAlignment="1" applyProtection="1">
      <alignment horizontal="left"/>
    </xf>
    <xf numFmtId="0" fontId="120" fillId="0" borderId="0" xfId="0" applyFont="1" applyBorder="1" applyAlignment="1" applyProtection="1">
      <alignment horizontal="left"/>
    </xf>
    <xf numFmtId="0" fontId="120" fillId="0" borderId="31" xfId="0" applyFont="1" applyBorder="1" applyAlignment="1" applyProtection="1">
      <alignment horizontal="left"/>
    </xf>
    <xf numFmtId="0" fontId="20" fillId="0" borderId="0" xfId="0" applyFont="1" applyAlignment="1">
      <alignment horizontal="left" vertical="center"/>
    </xf>
    <xf numFmtId="176" fontId="118" fillId="0" borderId="0" xfId="0" applyNumberFormat="1" applyFont="1" applyAlignment="1">
      <alignment horizontal="right" vertical="center"/>
    </xf>
    <xf numFmtId="14" fontId="20" fillId="0" borderId="0" xfId="0" applyNumberFormat="1" applyFont="1" applyAlignment="1">
      <alignment horizontal="left" vertical="center"/>
    </xf>
    <xf numFmtId="176" fontId="20" fillId="0" borderId="0" xfId="0" applyNumberFormat="1" applyFont="1" applyAlignment="1">
      <alignment horizontal="right" vertical="center"/>
    </xf>
    <xf numFmtId="0" fontId="28" fillId="0" borderId="0" xfId="0" applyFont="1" applyAlignment="1">
      <alignment horizontal="left" vertical="center"/>
    </xf>
    <xf numFmtId="0" fontId="22" fillId="9" borderId="9" xfId="0" applyFont="1" applyFill="1" applyBorder="1" applyAlignment="1" applyProtection="1">
      <alignment horizontal="left" vertical="top" wrapText="1"/>
      <protection locked="0" hidden="1"/>
    </xf>
    <xf numFmtId="0" fontId="22" fillId="9" borderId="10" xfId="0" applyFont="1" applyFill="1" applyBorder="1" applyAlignment="1" applyProtection="1">
      <alignment horizontal="left" vertical="top" wrapText="1"/>
      <protection locked="0" hidden="1"/>
    </xf>
    <xf numFmtId="0" fontId="22" fillId="9" borderId="11" xfId="0" applyFont="1" applyFill="1" applyBorder="1" applyAlignment="1" applyProtection="1">
      <alignment horizontal="left" vertical="top" wrapText="1"/>
      <protection locked="0" hidden="1"/>
    </xf>
    <xf numFmtId="0" fontId="22" fillId="9" borderId="12" xfId="0" applyFont="1" applyFill="1" applyBorder="1" applyAlignment="1" applyProtection="1">
      <alignment horizontal="left" vertical="top" wrapText="1"/>
      <protection locked="0" hidden="1"/>
    </xf>
    <xf numFmtId="0" fontId="22" fillId="9" borderId="0" xfId="0" applyFont="1" applyFill="1" applyBorder="1" applyAlignment="1" applyProtection="1">
      <alignment horizontal="left" vertical="top" wrapText="1"/>
      <protection locked="0" hidden="1"/>
    </xf>
    <xf numFmtId="0" fontId="22" fillId="9" borderId="13" xfId="0" applyFont="1" applyFill="1" applyBorder="1" applyAlignment="1" applyProtection="1">
      <alignment horizontal="left" vertical="top" wrapText="1"/>
      <protection locked="0" hidden="1"/>
    </xf>
    <xf numFmtId="0" fontId="22" fillId="9" borderId="14" xfId="0" applyFont="1" applyFill="1" applyBorder="1" applyAlignment="1" applyProtection="1">
      <alignment horizontal="left" vertical="top" wrapText="1"/>
      <protection locked="0" hidden="1"/>
    </xf>
    <xf numFmtId="0" fontId="22" fillId="9" borderId="15" xfId="0" applyFont="1" applyFill="1" applyBorder="1" applyAlignment="1" applyProtection="1">
      <alignment horizontal="left" vertical="top" wrapText="1"/>
      <protection locked="0" hidden="1"/>
    </xf>
    <xf numFmtId="0" fontId="22" fillId="9" borderId="16" xfId="0" applyFont="1" applyFill="1" applyBorder="1" applyAlignment="1" applyProtection="1">
      <alignment horizontal="left" vertical="top" wrapText="1"/>
      <protection locked="0" hidden="1"/>
    </xf>
    <xf numFmtId="0" fontId="22" fillId="0" borderId="0" xfId="0" applyFont="1" applyBorder="1" applyAlignment="1">
      <alignment horizontal="left" vertical="center" wrapText="1"/>
    </xf>
    <xf numFmtId="0" fontId="0" fillId="0" borderId="14" xfId="0" applyBorder="1" applyAlignment="1">
      <alignment horizontal="center" vertical="top" wrapText="1"/>
    </xf>
    <xf numFmtId="0" fontId="0" fillId="0" borderId="15" xfId="0" applyBorder="1" applyAlignment="1">
      <alignment horizontal="center" vertical="top" wrapText="1"/>
    </xf>
    <xf numFmtId="0" fontId="0" fillId="0" borderId="16" xfId="0" applyBorder="1" applyAlignment="1">
      <alignment horizontal="center" vertical="top" wrapText="1"/>
    </xf>
    <xf numFmtId="0" fontId="48" fillId="0" borderId="9" xfId="0" applyFont="1" applyBorder="1" applyAlignment="1">
      <alignment horizontal="left" vertical="top" wrapText="1"/>
    </xf>
    <xf numFmtId="0" fontId="48" fillId="0" borderId="10" xfId="0" applyFont="1" applyBorder="1" applyAlignment="1">
      <alignment horizontal="left" vertical="top" wrapText="1"/>
    </xf>
    <xf numFmtId="0" fontId="48" fillId="0" borderId="11" xfId="0" applyFont="1" applyBorder="1" applyAlignment="1">
      <alignment horizontal="left" vertical="top" wrapText="1"/>
    </xf>
    <xf numFmtId="0" fontId="96" fillId="7" borderId="0" xfId="0" applyFont="1" applyFill="1" applyAlignment="1">
      <alignment horizontal="left" vertical="center"/>
    </xf>
    <xf numFmtId="0" fontId="1" fillId="0" borderId="0" xfId="0" applyFont="1" applyBorder="1" applyAlignment="1">
      <alignment horizontal="center" vertical="center" wrapText="1"/>
    </xf>
    <xf numFmtId="0" fontId="48" fillId="0" borderId="12" xfId="0" applyFont="1" applyBorder="1" applyAlignment="1">
      <alignment horizontal="left" vertical="top" wrapText="1"/>
    </xf>
    <xf numFmtId="0" fontId="48" fillId="0" borderId="0" xfId="0" applyFont="1" applyBorder="1" applyAlignment="1">
      <alignment horizontal="left" vertical="top" wrapText="1"/>
    </xf>
    <xf numFmtId="0" fontId="48" fillId="0" borderId="13" xfId="0" applyFont="1" applyBorder="1" applyAlignment="1">
      <alignment horizontal="left" vertical="top" wrapText="1"/>
    </xf>
    <xf numFmtId="9" fontId="0" fillId="7" borderId="0" xfId="1" applyFont="1" applyFill="1" applyAlignment="1" applyProtection="1">
      <alignment horizontal="center" vertical="center"/>
      <protection hidden="1"/>
    </xf>
    <xf numFmtId="0" fontId="39" fillId="15" borderId="6" xfId="0" applyFont="1" applyFill="1" applyBorder="1" applyAlignment="1">
      <alignment horizontal="left" vertical="center"/>
    </xf>
    <xf numFmtId="0" fontId="39" fillId="15" borderId="7" xfId="0" applyFont="1" applyFill="1" applyBorder="1" applyAlignment="1">
      <alignment horizontal="left" vertical="center"/>
    </xf>
    <xf numFmtId="0" fontId="39" fillId="15" borderId="5" xfId="0" applyFont="1" applyFill="1" applyBorder="1" applyAlignment="1">
      <alignment horizontal="left" vertical="center"/>
    </xf>
    <xf numFmtId="164" fontId="44" fillId="8" borderId="0" xfId="0" applyNumberFormat="1" applyFont="1" applyFill="1" applyBorder="1" applyAlignment="1">
      <alignment horizontal="left" vertical="center"/>
    </xf>
    <xf numFmtId="167" fontId="146" fillId="8" borderId="0" xfId="3" applyNumberFormat="1" applyFont="1" applyFill="1" applyBorder="1" applyAlignment="1">
      <alignment horizontal="left" vertical="center"/>
    </xf>
    <xf numFmtId="0" fontId="11" fillId="0" borderId="10" xfId="0" applyFont="1" applyBorder="1" applyAlignment="1"/>
    <xf numFmtId="0" fontId="11" fillId="0" borderId="0" xfId="0" applyFont="1" applyAlignment="1">
      <alignment horizontal="left" vertical="top"/>
    </xf>
    <xf numFmtId="0" fontId="69" fillId="0" borderId="0" xfId="0" applyFont="1" applyBorder="1" applyAlignment="1">
      <alignment horizontal="right" vertical="top"/>
    </xf>
    <xf numFmtId="0" fontId="69" fillId="0" borderId="13" xfId="0" applyFont="1" applyBorder="1" applyAlignment="1">
      <alignment horizontal="right" vertical="top"/>
    </xf>
    <xf numFmtId="0" fontId="69" fillId="0" borderId="0" xfId="0" applyFont="1" applyBorder="1" applyAlignment="1">
      <alignment horizontal="right" vertical="center"/>
    </xf>
    <xf numFmtId="0" fontId="69" fillId="0" borderId="13" xfId="0" applyFont="1" applyBorder="1" applyAlignment="1">
      <alignment horizontal="right" vertical="center"/>
    </xf>
    <xf numFmtId="0" fontId="3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5"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left" vertical="center"/>
      <protection locked="0"/>
    </xf>
    <xf numFmtId="0" fontId="39" fillId="0" borderId="5" xfId="0" applyFont="1" applyFill="1" applyBorder="1" applyAlignment="1" applyProtection="1">
      <alignment horizontal="left" vertical="center"/>
      <protection locked="0"/>
    </xf>
    <xf numFmtId="0" fontId="39" fillId="0" borderId="6" xfId="0" applyFont="1" applyFill="1" applyBorder="1" applyAlignment="1" applyProtection="1">
      <alignment horizontal="center" vertical="center"/>
      <protection locked="0"/>
    </xf>
    <xf numFmtId="0" fontId="39" fillId="0" borderId="7" xfId="0" applyFont="1" applyFill="1" applyBorder="1" applyAlignment="1" applyProtection="1">
      <alignment horizontal="center" vertical="center"/>
      <protection locked="0"/>
    </xf>
    <xf numFmtId="0" fontId="39" fillId="0" borderId="5" xfId="0" applyFont="1" applyFill="1" applyBorder="1" applyAlignment="1" applyProtection="1">
      <alignment horizontal="center" vertical="center"/>
      <protection locked="0"/>
    </xf>
    <xf numFmtId="0" fontId="28" fillId="0" borderId="7" xfId="0" applyFont="1" applyBorder="1" applyAlignment="1">
      <alignment horizontal="center"/>
    </xf>
    <xf numFmtId="0" fontId="28" fillId="0" borderId="15" xfId="0" applyFont="1" applyBorder="1" applyAlignment="1">
      <alignment horizontal="center"/>
    </xf>
    <xf numFmtId="0" fontId="39" fillId="0" borderId="9" xfId="0" applyFont="1" applyFill="1" applyBorder="1" applyAlignment="1" applyProtection="1">
      <alignment horizontal="left" vertical="center"/>
      <protection locked="0"/>
    </xf>
    <xf numFmtId="0" fontId="39" fillId="0" borderId="10" xfId="0" applyFont="1" applyFill="1" applyBorder="1" applyAlignment="1" applyProtection="1">
      <alignment horizontal="left" vertical="center"/>
      <protection locked="0"/>
    </xf>
    <xf numFmtId="0" fontId="39" fillId="0" borderId="11" xfId="0" applyFont="1" applyFill="1" applyBorder="1" applyAlignment="1" applyProtection="1">
      <alignment horizontal="left" vertical="center"/>
      <protection locked="0"/>
    </xf>
    <xf numFmtId="0" fontId="39" fillId="0" borderId="14" xfId="0" applyFont="1" applyFill="1" applyBorder="1" applyAlignment="1" applyProtection="1">
      <alignment horizontal="left" vertical="center"/>
      <protection locked="0"/>
    </xf>
    <xf numFmtId="0" fontId="39" fillId="0" borderId="15" xfId="0" applyFont="1" applyFill="1" applyBorder="1" applyAlignment="1" applyProtection="1">
      <alignment horizontal="left" vertical="center"/>
      <protection locked="0"/>
    </xf>
    <xf numFmtId="0" fontId="39" fillId="0" borderId="16" xfId="0" applyFont="1" applyFill="1" applyBorder="1" applyAlignment="1" applyProtection="1">
      <alignment horizontal="left" vertical="center"/>
      <protection locked="0"/>
    </xf>
    <xf numFmtId="0" fontId="190" fillId="0" borderId="6" xfId="0" applyFont="1" applyFill="1" applyBorder="1" applyAlignment="1" applyProtection="1">
      <alignment horizontal="left" vertical="center"/>
      <protection locked="0"/>
    </xf>
    <xf numFmtId="0" fontId="190" fillId="0" borderId="7" xfId="0" applyFont="1" applyFill="1" applyBorder="1" applyAlignment="1" applyProtection="1">
      <alignment horizontal="left" vertical="center"/>
      <protection locked="0"/>
    </xf>
    <xf numFmtId="0" fontId="190" fillId="0" borderId="5"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0" xfId="0" applyFont="1" applyFill="1" applyBorder="1" applyAlignment="1" applyProtection="1">
      <alignment vertical="center"/>
      <protection locked="0"/>
    </xf>
    <xf numFmtId="0" fontId="95" fillId="0" borderId="15" xfId="0" applyFont="1" applyBorder="1" applyAlignment="1">
      <alignment horizontal="center"/>
    </xf>
    <xf numFmtId="0" fontId="20" fillId="0" borderId="10" xfId="0" applyFont="1" applyBorder="1" applyAlignment="1">
      <alignment horizontal="left"/>
    </xf>
    <xf numFmtId="0" fontId="20" fillId="0" borderId="11" xfId="0" applyFont="1" applyBorder="1" applyAlignment="1">
      <alignment horizontal="left"/>
    </xf>
    <xf numFmtId="0" fontId="1" fillId="0" borderId="0" xfId="0" applyFont="1" applyBorder="1" applyAlignment="1" applyProtection="1">
      <alignment horizontal="left" vertical="center" wrapText="1"/>
      <protection locked="0"/>
    </xf>
    <xf numFmtId="0" fontId="1" fillId="0" borderId="13" xfId="0" applyFont="1" applyBorder="1" applyAlignment="1" applyProtection="1">
      <alignment horizontal="left" vertical="center" wrapText="1"/>
      <protection locked="0"/>
    </xf>
    <xf numFmtId="0" fontId="162" fillId="0" borderId="12" xfId="0" applyFont="1" applyBorder="1" applyAlignment="1">
      <alignment horizontal="left" vertical="top" wrapText="1"/>
    </xf>
    <xf numFmtId="0" fontId="162" fillId="0" borderId="0" xfId="0" applyFont="1" applyBorder="1" applyAlignment="1">
      <alignment horizontal="left" vertical="top" wrapText="1"/>
    </xf>
    <xf numFmtId="0" fontId="22" fillId="9" borderId="15" xfId="0" applyFont="1" applyFill="1" applyBorder="1" applyAlignment="1" applyProtection="1">
      <alignment horizontal="left" vertical="center"/>
      <protection locked="0"/>
    </xf>
    <xf numFmtId="0" fontId="22" fillId="9" borderId="16" xfId="0" applyFont="1" applyFill="1" applyBorder="1" applyAlignment="1" applyProtection="1">
      <alignment horizontal="left" vertical="center"/>
      <protection locked="0"/>
    </xf>
    <xf numFmtId="0" fontId="124" fillId="0" borderId="9" xfId="0" applyFont="1" applyBorder="1" applyAlignment="1">
      <alignment horizontal="left" vertical="center"/>
    </xf>
    <xf numFmtId="0" fontId="124" fillId="0" borderId="10" xfId="0" applyFont="1" applyBorder="1" applyAlignment="1">
      <alignment horizontal="left" vertical="center"/>
    </xf>
    <xf numFmtId="0" fontId="162" fillId="0" borderId="13" xfId="0" applyFont="1" applyBorder="1" applyAlignment="1">
      <alignment horizontal="left" vertical="top" wrapText="1"/>
    </xf>
    <xf numFmtId="0" fontId="63" fillId="0" borderId="0" xfId="0" applyFont="1" applyFill="1" applyBorder="1" applyAlignment="1">
      <alignment horizontal="left" vertical="center"/>
    </xf>
    <xf numFmtId="0" fontId="63" fillId="0" borderId="13" xfId="0" applyFont="1" applyFill="1" applyBorder="1" applyAlignment="1">
      <alignment horizontal="left" vertical="center"/>
    </xf>
    <xf numFmtId="0" fontId="94" fillId="0" borderId="14" xfId="0" applyFont="1" applyFill="1" applyBorder="1" applyAlignment="1" applyProtection="1">
      <alignment vertical="center" wrapText="1"/>
      <protection locked="0"/>
    </xf>
    <xf numFmtId="0" fontId="94" fillId="0" borderId="15" xfId="0" applyFont="1" applyFill="1" applyBorder="1" applyAlignment="1" applyProtection="1">
      <alignment vertical="center" wrapText="1"/>
      <protection locked="0"/>
    </xf>
    <xf numFmtId="0" fontId="94" fillId="0" borderId="16" xfId="0" applyFont="1" applyFill="1" applyBorder="1" applyAlignment="1" applyProtection="1">
      <alignment vertical="center" wrapText="1"/>
      <protection locked="0"/>
    </xf>
    <xf numFmtId="0" fontId="94" fillId="0" borderId="9" xfId="0" applyFont="1" applyFill="1" applyBorder="1" applyAlignment="1" applyProtection="1">
      <alignment vertical="center" wrapText="1"/>
      <protection locked="0"/>
    </xf>
    <xf numFmtId="0" fontId="94" fillId="0" borderId="10" xfId="0" applyFont="1" applyFill="1" applyBorder="1" applyAlignment="1" applyProtection="1">
      <alignment vertical="center" wrapText="1"/>
      <protection locked="0"/>
    </xf>
    <xf numFmtId="0" fontId="94" fillId="0" borderId="11" xfId="0" applyFont="1" applyFill="1" applyBorder="1" applyAlignment="1" applyProtection="1">
      <alignment vertical="center" wrapText="1"/>
      <protection locked="0"/>
    </xf>
    <xf numFmtId="0" fontId="63" fillId="0" borderId="0" xfId="0" applyFont="1" applyFill="1" applyBorder="1" applyAlignment="1">
      <alignment horizontal="left" vertical="center" wrapText="1"/>
    </xf>
    <xf numFmtId="0" fontId="63" fillId="0" borderId="13" xfId="0" applyFont="1" applyFill="1" applyBorder="1" applyAlignment="1">
      <alignment horizontal="left" vertical="center" wrapText="1"/>
    </xf>
    <xf numFmtId="0" fontId="1" fillId="0" borderId="6" xfId="0" applyFont="1" applyFill="1" applyBorder="1" applyAlignment="1" applyProtection="1">
      <alignment horizontal="left" vertical="center"/>
      <protection locked="0"/>
    </xf>
    <xf numFmtId="0" fontId="1" fillId="0" borderId="7" xfId="0" applyFont="1" applyFill="1" applyBorder="1" applyAlignment="1" applyProtection="1">
      <alignment horizontal="left" vertical="center"/>
      <protection locked="0"/>
    </xf>
    <xf numFmtId="0" fontId="1" fillId="0" borderId="5" xfId="0" applyFont="1" applyFill="1" applyBorder="1" applyAlignment="1" applyProtection="1">
      <alignment horizontal="left" vertical="center"/>
      <protection locked="0"/>
    </xf>
    <xf numFmtId="0" fontId="94" fillId="0" borderId="6" xfId="0" applyFont="1" applyFill="1" applyBorder="1" applyAlignment="1" applyProtection="1">
      <alignment vertical="center" wrapText="1"/>
      <protection locked="0"/>
    </xf>
    <xf numFmtId="0" fontId="94" fillId="0" borderId="7" xfId="0" applyFont="1" applyFill="1" applyBorder="1" applyAlignment="1" applyProtection="1">
      <alignment vertical="center" wrapText="1"/>
      <protection locked="0"/>
    </xf>
    <xf numFmtId="0" fontId="94" fillId="0" borderId="5" xfId="0" applyFont="1" applyFill="1" applyBorder="1" applyAlignment="1" applyProtection="1">
      <alignment vertical="center" wrapText="1"/>
      <protection locked="0"/>
    </xf>
    <xf numFmtId="0" fontId="124" fillId="0" borderId="0" xfId="0" applyFont="1" applyFill="1" applyBorder="1" applyAlignment="1">
      <alignment horizontal="left" vertical="center"/>
    </xf>
    <xf numFmtId="0" fontId="117" fillId="0" borderId="0" xfId="0" applyFont="1" applyFill="1" applyBorder="1" applyAlignment="1">
      <alignment horizontal="left" vertical="center" wrapText="1"/>
    </xf>
    <xf numFmtId="0" fontId="20" fillId="0" borderId="0" xfId="0" applyFont="1" applyFill="1" applyBorder="1" applyAlignment="1">
      <alignment horizontal="left" vertical="top" wrapText="1"/>
    </xf>
    <xf numFmtId="0" fontId="194" fillId="0" borderId="0" xfId="0" applyFont="1" applyFill="1" applyBorder="1" applyAlignment="1">
      <alignment horizontal="left" vertical="center"/>
    </xf>
    <xf numFmtId="0" fontId="151" fillId="0" borderId="6" xfId="0" applyFont="1" applyBorder="1" applyAlignment="1" applyProtection="1">
      <alignment horizontal="left" vertical="center"/>
      <protection locked="0"/>
    </xf>
    <xf numFmtId="0" fontId="151" fillId="0" borderId="7" xfId="0" applyFont="1" applyBorder="1" applyAlignment="1" applyProtection="1">
      <alignment horizontal="left" vertical="center"/>
      <protection locked="0"/>
    </xf>
    <xf numFmtId="0" fontId="151" fillId="0" borderId="5" xfId="0" applyFont="1" applyBorder="1" applyAlignment="1" applyProtection="1">
      <alignment horizontal="left" vertical="center"/>
      <protection locked="0"/>
    </xf>
    <xf numFmtId="14" fontId="0" fillId="0" borderId="6" xfId="0" applyNumberFormat="1" applyBorder="1" applyAlignment="1" applyProtection="1">
      <alignment horizontal="center" vertical="center"/>
      <protection locked="0"/>
    </xf>
    <xf numFmtId="14" fontId="0" fillId="0" borderId="7" xfId="0" applyNumberFormat="1" applyBorder="1" applyAlignment="1" applyProtection="1">
      <alignment horizontal="center" vertical="center"/>
      <protection locked="0"/>
    </xf>
    <xf numFmtId="14" fontId="0" fillId="0" borderId="5" xfId="0" applyNumberFormat="1" applyBorder="1" applyAlignment="1" applyProtection="1">
      <alignment horizontal="center" vertical="center"/>
      <protection locked="0"/>
    </xf>
    <xf numFmtId="0" fontId="151" fillId="0" borderId="244" xfId="0" applyFont="1" applyBorder="1" applyAlignment="1" applyProtection="1">
      <alignment horizontal="left" vertical="center"/>
      <protection locked="0"/>
    </xf>
    <xf numFmtId="0" fontId="11" fillId="0" borderId="15" xfId="0" applyFont="1" applyBorder="1" applyAlignment="1" applyProtection="1">
      <alignment horizontal="center"/>
      <protection locked="0"/>
    </xf>
    <xf numFmtId="0" fontId="124" fillId="0" borderId="15" xfId="0" applyFont="1" applyBorder="1" applyAlignment="1">
      <alignment horizontal="left" wrapText="1"/>
    </xf>
    <xf numFmtId="0" fontId="61" fillId="0" borderId="0" xfId="0" applyFont="1" applyAlignment="1" applyProtection="1">
      <alignment horizontal="left" vertical="center"/>
      <protection locked="0"/>
    </xf>
    <xf numFmtId="0" fontId="124" fillId="0" borderId="15" xfId="0" applyFont="1" applyBorder="1" applyAlignment="1">
      <alignment horizontal="left" vertical="center" wrapText="1"/>
    </xf>
    <xf numFmtId="0" fontId="124" fillId="0" borderId="0" xfId="0" applyFont="1" applyBorder="1" applyAlignment="1">
      <alignment horizontal="left" wrapText="1"/>
    </xf>
    <xf numFmtId="0" fontId="11" fillId="0" borderId="0" xfId="0" applyFont="1" applyBorder="1" applyAlignment="1" applyProtection="1">
      <alignment horizontal="center"/>
      <protection locked="0"/>
    </xf>
    <xf numFmtId="0" fontId="22" fillId="0" borderId="6"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146" fillId="0" borderId="15" xfId="0" applyFont="1" applyBorder="1" applyAlignment="1" applyProtection="1">
      <alignment horizontal="left" vertical="top"/>
      <protection locked="0"/>
    </xf>
    <xf numFmtId="0" fontId="151" fillId="0" borderId="7" xfId="0" applyFont="1" applyBorder="1" applyAlignment="1" applyProtection="1">
      <alignment horizontal="center" vertical="center"/>
      <protection locked="0"/>
    </xf>
    <xf numFmtId="0" fontId="131" fillId="7" borderId="0" xfId="0" applyFont="1" applyFill="1" applyAlignment="1">
      <alignment horizontal="left" vertical="center"/>
    </xf>
    <xf numFmtId="0" fontId="1" fillId="8" borderId="144" xfId="0" applyFont="1" applyFill="1" applyBorder="1" applyAlignment="1">
      <alignment horizontal="left" vertical="center"/>
    </xf>
    <xf numFmtId="0" fontId="147" fillId="8" borderId="0" xfId="0" applyFont="1" applyFill="1" applyBorder="1" applyAlignment="1">
      <alignment horizontal="left" vertical="center"/>
    </xf>
    <xf numFmtId="0" fontId="114" fillId="8" borderId="0" xfId="0" applyFont="1" applyFill="1" applyBorder="1" applyAlignment="1">
      <alignment horizontal="left" vertical="center"/>
    </xf>
    <xf numFmtId="0" fontId="91" fillId="8" borderId="0" xfId="0" applyFont="1" applyFill="1" applyBorder="1" applyAlignment="1" applyProtection="1">
      <alignment horizontal="left" vertical="center"/>
      <protection locked="0"/>
    </xf>
    <xf numFmtId="0" fontId="69" fillId="8" borderId="0" xfId="0" applyFont="1" applyFill="1" applyBorder="1" applyAlignment="1" applyProtection="1">
      <alignment horizontal="left" vertical="center"/>
      <protection locked="0"/>
    </xf>
    <xf numFmtId="0" fontId="18" fillId="0" borderId="6" xfId="0"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0" fontId="18" fillId="0" borderId="5" xfId="0" applyFont="1" applyFill="1" applyBorder="1" applyAlignment="1" applyProtection="1">
      <alignment horizontal="left" vertical="center"/>
      <protection locked="0"/>
    </xf>
    <xf numFmtId="0" fontId="124" fillId="0" borderId="15" xfId="0" applyFont="1" applyBorder="1" applyAlignment="1" applyProtection="1">
      <alignment horizontal="right" vertical="center" wrapText="1"/>
      <protection locked="0"/>
    </xf>
    <xf numFmtId="0" fontId="124" fillId="0" borderId="15" xfId="0" applyFont="1" applyBorder="1" applyAlignment="1" applyProtection="1">
      <alignment horizontal="left" vertical="center" wrapText="1"/>
      <protection locked="0"/>
    </xf>
    <xf numFmtId="0" fontId="11" fillId="0" borderId="0" xfId="0" applyFont="1" applyAlignment="1" applyProtection="1">
      <alignment horizontal="right" vertical="center"/>
      <protection locked="0"/>
    </xf>
    <xf numFmtId="0" fontId="115" fillId="0" borderId="0" xfId="0" applyFont="1" applyBorder="1" applyAlignment="1">
      <alignment horizontal="center" vertical="center"/>
    </xf>
    <xf numFmtId="0" fontId="63" fillId="0" borderId="0" xfId="0" applyFont="1" applyBorder="1" applyAlignment="1">
      <alignment horizontal="left" vertical="center"/>
    </xf>
    <xf numFmtId="0" fontId="1" fillId="8" borderId="18" xfId="0" applyFont="1" applyFill="1" applyBorder="1" applyAlignment="1">
      <alignment horizontal="left" vertical="center"/>
    </xf>
    <xf numFmtId="0" fontId="1" fillId="8" borderId="19" xfId="0" applyFont="1" applyFill="1" applyBorder="1" applyAlignment="1">
      <alignment horizontal="left" vertical="center"/>
    </xf>
    <xf numFmtId="0" fontId="1" fillId="8" borderId="133" xfId="0" applyFont="1" applyFill="1" applyBorder="1" applyAlignment="1">
      <alignment horizontal="left" vertical="center"/>
    </xf>
    <xf numFmtId="0" fontId="36" fillId="8" borderId="20" xfId="0" applyFont="1" applyFill="1" applyBorder="1" applyAlignment="1" applyProtection="1">
      <alignment horizontal="left" vertical="center" indent="1"/>
      <protection locked="0"/>
    </xf>
    <xf numFmtId="0" fontId="36" fillId="8" borderId="21" xfId="0" applyFont="1" applyFill="1" applyBorder="1" applyAlignment="1" applyProtection="1">
      <alignment horizontal="left" vertical="center" indent="1"/>
      <protection locked="0"/>
    </xf>
    <xf numFmtId="0" fontId="36" fillId="8" borderId="135" xfId="0" applyFont="1" applyFill="1" applyBorder="1" applyAlignment="1" applyProtection="1">
      <alignment horizontal="left" vertical="center" indent="1"/>
      <protection locked="0"/>
    </xf>
    <xf numFmtId="0" fontId="0" fillId="8" borderId="18" xfId="0" applyFill="1" applyBorder="1" applyAlignment="1" applyProtection="1">
      <alignment horizontal="center" vertical="center"/>
      <protection locked="0"/>
    </xf>
    <xf numFmtId="0" fontId="0" fillId="8" borderId="19" xfId="0" applyFill="1" applyBorder="1" applyAlignment="1" applyProtection="1">
      <alignment horizontal="center" vertical="center"/>
      <protection locked="0"/>
    </xf>
    <xf numFmtId="0" fontId="0" fillId="8" borderId="133" xfId="0" applyFill="1" applyBorder="1" applyAlignment="1" applyProtection="1">
      <alignment horizontal="center" vertical="center"/>
      <protection locked="0"/>
    </xf>
    <xf numFmtId="0" fontId="132" fillId="0" borderId="0" xfId="0" applyFont="1" applyBorder="1" applyAlignment="1">
      <alignment horizontal="left" vertical="center"/>
    </xf>
    <xf numFmtId="167" fontId="5" fillId="0" borderId="0" xfId="0" applyNumberFormat="1" applyFont="1" applyBorder="1" applyAlignment="1">
      <alignment horizontal="left" vertical="center"/>
    </xf>
    <xf numFmtId="0" fontId="5" fillId="0" borderId="0" xfId="0" applyFont="1" applyBorder="1" applyAlignment="1">
      <alignment horizontal="left" vertical="center"/>
    </xf>
    <xf numFmtId="168" fontId="69" fillId="5" borderId="4" xfId="0" applyNumberFormat="1" applyFont="1" applyFill="1" applyBorder="1" applyAlignment="1" applyProtection="1">
      <alignment horizontal="left" vertical="center"/>
      <protection locked="0"/>
    </xf>
    <xf numFmtId="167" fontId="22" fillId="5" borderId="4" xfId="0" applyNumberFormat="1" applyFont="1" applyFill="1" applyBorder="1" applyAlignment="1" applyProtection="1">
      <alignment horizontal="left" vertical="center"/>
      <protection locked="0"/>
    </xf>
    <xf numFmtId="167" fontId="10" fillId="5" borderId="63" xfId="0" applyNumberFormat="1" applyFont="1" applyFill="1" applyBorder="1" applyAlignment="1" applyProtection="1">
      <alignment vertical="center"/>
      <protection locked="0"/>
    </xf>
    <xf numFmtId="167" fontId="22" fillId="5" borderId="9" xfId="0" applyNumberFormat="1" applyFont="1" applyFill="1" applyBorder="1" applyAlignment="1" applyProtection="1">
      <alignment horizontal="left" vertical="center"/>
      <protection locked="0"/>
    </xf>
    <xf numFmtId="167" fontId="22" fillId="5" borderId="10" xfId="0" applyNumberFormat="1" applyFont="1" applyFill="1" applyBorder="1" applyAlignment="1" applyProtection="1">
      <alignment horizontal="left" vertical="center"/>
      <protection locked="0"/>
    </xf>
    <xf numFmtId="167" fontId="22" fillId="5" borderId="7" xfId="0" applyNumberFormat="1" applyFont="1" applyFill="1" applyBorder="1" applyAlignment="1" applyProtection="1">
      <alignment horizontal="left" vertical="center"/>
      <protection locked="0"/>
    </xf>
    <xf numFmtId="167" fontId="22" fillId="5" borderId="5" xfId="0" applyNumberFormat="1" applyFont="1" applyFill="1" applyBorder="1" applyAlignment="1" applyProtection="1">
      <alignment horizontal="left" vertical="center"/>
      <protection locked="0"/>
    </xf>
    <xf numFmtId="167" fontId="22" fillId="5" borderId="6" xfId="0" applyNumberFormat="1" applyFont="1" applyFill="1" applyBorder="1" applyAlignment="1" applyProtection="1">
      <alignment horizontal="left" vertical="center"/>
      <protection locked="0"/>
    </xf>
    <xf numFmtId="167" fontId="22" fillId="9" borderId="7" xfId="0" applyNumberFormat="1" applyFont="1" applyFill="1" applyBorder="1" applyAlignment="1" applyProtection="1">
      <alignment horizontal="center" vertical="center"/>
      <protection locked="0"/>
    </xf>
    <xf numFmtId="167" fontId="22" fillId="9" borderId="5" xfId="0" applyNumberFormat="1" applyFont="1" applyFill="1" applyBorder="1" applyAlignment="1" applyProtection="1">
      <alignment horizontal="center" vertical="center"/>
      <protection locked="0"/>
    </xf>
    <xf numFmtId="0" fontId="63" fillId="0" borderId="0" xfId="0" applyFont="1" applyBorder="1" applyAlignment="1">
      <alignment horizontal="center" vertical="top"/>
    </xf>
    <xf numFmtId="167" fontId="10" fillId="5" borderId="4" xfId="0" applyNumberFormat="1" applyFont="1" applyFill="1" applyBorder="1" applyAlignment="1" applyProtection="1">
      <alignment horizontal="right" vertical="center"/>
      <protection locked="0"/>
    </xf>
    <xf numFmtId="0" fontId="132" fillId="0" borderId="15" xfId="0" applyFont="1" applyBorder="1" applyAlignment="1">
      <alignment horizontal="center" vertical="center"/>
    </xf>
    <xf numFmtId="0" fontId="132" fillId="0" borderId="0" xfId="0" applyFont="1" applyBorder="1" applyAlignment="1">
      <alignment horizontal="center" vertical="center"/>
    </xf>
    <xf numFmtId="167" fontId="11" fillId="0" borderId="4" xfId="0" applyNumberFormat="1" applyFont="1" applyFill="1" applyBorder="1" applyAlignment="1" applyProtection="1">
      <alignment horizontal="left" vertical="center"/>
      <protection locked="0"/>
    </xf>
    <xf numFmtId="0" fontId="0" fillId="8" borderId="20" xfId="0" applyFill="1" applyBorder="1" applyAlignment="1" applyProtection="1">
      <alignment horizontal="left" vertical="center"/>
      <protection locked="0"/>
    </xf>
    <xf numFmtId="0" fontId="0" fillId="8" borderId="21" xfId="0" applyFill="1" applyBorder="1" applyAlignment="1" applyProtection="1">
      <alignment horizontal="left" vertical="center"/>
      <protection locked="0"/>
    </xf>
    <xf numFmtId="0" fontId="0" fillId="8" borderId="135" xfId="0" applyFill="1" applyBorder="1" applyAlignment="1" applyProtection="1">
      <alignment horizontal="left" vertical="center"/>
      <protection locked="0"/>
    </xf>
    <xf numFmtId="0" fontId="23" fillId="8" borderId="147" xfId="0" applyFont="1" applyFill="1" applyBorder="1" applyAlignment="1">
      <alignment horizontal="right" wrapText="1"/>
    </xf>
    <xf numFmtId="10" fontId="1" fillId="5" borderId="4" xfId="1" applyNumberFormat="1" applyFont="1" applyFill="1" applyBorder="1" applyAlignment="1" applyProtection="1">
      <alignment horizontal="center" vertical="center"/>
      <protection locked="0"/>
    </xf>
    <xf numFmtId="0" fontId="63" fillId="0" borderId="13" xfId="0" applyFont="1" applyBorder="1" applyAlignment="1">
      <alignment horizontal="left" vertical="center"/>
    </xf>
    <xf numFmtId="49" fontId="42" fillId="8" borderId="6" xfId="1" applyNumberFormat="1" applyFont="1" applyFill="1" applyBorder="1" applyAlignment="1" applyProtection="1">
      <alignment horizontal="center" vertical="center"/>
      <protection locked="0"/>
    </xf>
    <xf numFmtId="49" fontId="42" fillId="8" borderId="7" xfId="1" applyNumberFormat="1" applyFont="1" applyFill="1" applyBorder="1" applyAlignment="1" applyProtection="1">
      <alignment horizontal="center" vertical="center"/>
      <protection locked="0"/>
    </xf>
    <xf numFmtId="49" fontId="42" fillId="8" borderId="5" xfId="1" applyNumberFormat="1" applyFont="1" applyFill="1" applyBorder="1" applyAlignment="1" applyProtection="1">
      <alignment horizontal="center" vertical="center"/>
      <protection locked="0"/>
    </xf>
    <xf numFmtId="167" fontId="1" fillId="8" borderId="6" xfId="0" applyNumberFormat="1" applyFont="1" applyFill="1" applyBorder="1" applyAlignment="1" applyProtection="1">
      <alignment horizontal="center" vertical="center"/>
      <protection locked="0"/>
    </xf>
    <xf numFmtId="167" fontId="1" fillId="8" borderId="7" xfId="0" applyNumberFormat="1" applyFont="1" applyFill="1" applyBorder="1" applyAlignment="1" applyProtection="1">
      <alignment horizontal="center" vertical="center"/>
      <protection locked="0"/>
    </xf>
    <xf numFmtId="167" fontId="1" fillId="8" borderId="5" xfId="0" applyNumberFormat="1" applyFont="1" applyFill="1" applyBorder="1" applyAlignment="1" applyProtection="1">
      <alignment horizontal="center" vertical="center"/>
      <protection locked="0"/>
    </xf>
    <xf numFmtId="167" fontId="22" fillId="0" borderId="157" xfId="0" applyNumberFormat="1" applyFont="1" applyBorder="1" applyAlignment="1" applyProtection="1">
      <alignment horizontal="right" vertical="top" wrapText="1"/>
      <protection locked="0"/>
    </xf>
    <xf numFmtId="0" fontId="11" fillId="0" borderId="0" xfId="0" applyFont="1" applyAlignment="1" applyProtection="1">
      <alignment horizontal="left" vertical="top" wrapText="1"/>
      <protection locked="0"/>
    </xf>
    <xf numFmtId="6" fontId="1" fillId="7" borderId="0" xfId="0" applyNumberFormat="1" applyFont="1" applyFill="1" applyBorder="1" applyAlignment="1">
      <alignment horizontal="right" vertical="center" wrapText="1"/>
    </xf>
    <xf numFmtId="6" fontId="1" fillId="7" borderId="0" xfId="0" applyNumberFormat="1" applyFont="1" applyFill="1" applyBorder="1" applyAlignment="1">
      <alignment horizontal="left" vertical="center" wrapText="1"/>
    </xf>
    <xf numFmtId="0" fontId="0" fillId="7" borderId="0" xfId="0" applyFont="1" applyFill="1" applyBorder="1" applyAlignment="1">
      <alignment horizontal="right"/>
    </xf>
    <xf numFmtId="0" fontId="0" fillId="7" borderId="0" xfId="0" applyFont="1" applyFill="1" applyBorder="1" applyAlignment="1">
      <alignment horizontal="left"/>
    </xf>
    <xf numFmtId="0" fontId="164" fillId="0" borderId="6" xfId="0" applyFont="1" applyFill="1" applyBorder="1" applyAlignment="1" applyProtection="1">
      <alignment horizontal="left" vertical="center"/>
      <protection locked="0"/>
    </xf>
    <xf numFmtId="0" fontId="164" fillId="0" borderId="7" xfId="0" applyFont="1" applyFill="1" applyBorder="1" applyAlignment="1" applyProtection="1">
      <alignment horizontal="left" vertical="center"/>
      <protection locked="0"/>
    </xf>
    <xf numFmtId="0" fontId="164" fillId="0" borderId="5" xfId="0" applyFont="1" applyFill="1" applyBorder="1" applyAlignment="1" applyProtection="1">
      <alignment horizontal="left" vertical="center"/>
      <protection locked="0"/>
    </xf>
    <xf numFmtId="0" fontId="94" fillId="0" borderId="0" xfId="0" applyFont="1" applyAlignment="1">
      <alignment horizontal="left" vertical="center"/>
    </xf>
    <xf numFmtId="0" fontId="11" fillId="5" borderId="143" xfId="0" applyFont="1" applyFill="1" applyBorder="1" applyAlignment="1">
      <alignment horizontal="left" vertical="center"/>
    </xf>
    <xf numFmtId="0" fontId="10" fillId="5" borderId="0" xfId="0" applyFont="1" applyFill="1" applyBorder="1" applyAlignment="1">
      <alignment horizontal="left" vertical="center"/>
    </xf>
    <xf numFmtId="0" fontId="1" fillId="5" borderId="0" xfId="0" applyFont="1" applyFill="1" applyBorder="1" applyAlignment="1">
      <alignment horizontal="left" vertical="center"/>
    </xf>
    <xf numFmtId="164" fontId="1" fillId="5" borderId="0" xfId="0" applyNumberFormat="1" applyFont="1" applyFill="1" applyBorder="1" applyAlignment="1">
      <alignment horizontal="left" vertical="center"/>
    </xf>
    <xf numFmtId="167" fontId="1" fillId="5" borderId="0" xfId="3" applyNumberFormat="1" applyFont="1" applyFill="1" applyBorder="1" applyAlignment="1">
      <alignment horizontal="left" vertical="center"/>
    </xf>
    <xf numFmtId="0" fontId="113" fillId="5" borderId="0" xfId="0" applyFont="1" applyFill="1" applyBorder="1" applyAlignment="1">
      <alignment horizontal="left" vertical="center" wrapText="1"/>
    </xf>
    <xf numFmtId="167" fontId="28" fillId="0" borderId="0" xfId="0" applyNumberFormat="1" applyFont="1" applyAlignment="1">
      <alignment horizontal="left" vertical="center"/>
    </xf>
    <xf numFmtId="0" fontId="58" fillId="0" borderId="95" xfId="0" applyFont="1" applyBorder="1" applyAlignment="1" applyProtection="1">
      <alignment horizontal="center"/>
    </xf>
    <xf numFmtId="0" fontId="58" fillId="0" borderId="96" xfId="0" applyFont="1" applyBorder="1" applyAlignment="1" applyProtection="1">
      <alignment horizontal="center"/>
    </xf>
    <xf numFmtId="0" fontId="58" fillId="0" borderId="97" xfId="0" applyFont="1" applyBorder="1" applyAlignment="1" applyProtection="1">
      <alignment horizontal="center"/>
    </xf>
    <xf numFmtId="0" fontId="55" fillId="16" borderId="0" xfId="0" applyFont="1" applyFill="1" applyBorder="1" applyAlignment="1" applyProtection="1">
      <alignment horizontal="left"/>
    </xf>
    <xf numFmtId="0" fontId="47" fillId="0" borderId="4" xfId="0" applyFont="1" applyBorder="1" applyAlignment="1">
      <alignment horizontal="left"/>
    </xf>
    <xf numFmtId="0" fontId="58" fillId="0" borderId="98" xfId="0" applyFont="1" applyBorder="1" applyAlignment="1" applyProtection="1">
      <alignment horizontal="center"/>
    </xf>
    <xf numFmtId="0" fontId="58" fillId="0" borderId="99" xfId="0" applyFont="1" applyBorder="1" applyAlignment="1" applyProtection="1">
      <alignment horizontal="center"/>
    </xf>
    <xf numFmtId="0" fontId="58" fillId="0" borderId="100" xfId="0" applyFont="1" applyBorder="1" applyAlignment="1" applyProtection="1">
      <alignment horizontal="center"/>
    </xf>
    <xf numFmtId="0" fontId="55" fillId="23" borderId="0" xfId="0" applyFont="1" applyFill="1" applyBorder="1" applyAlignment="1" applyProtection="1">
      <alignment horizontal="center"/>
    </xf>
    <xf numFmtId="0" fontId="5" fillId="4" borderId="6" xfId="0" applyFont="1" applyFill="1" applyBorder="1" applyAlignment="1">
      <alignment horizontal="left"/>
    </xf>
    <xf numFmtId="0" fontId="5" fillId="4" borderId="7" xfId="0" applyFont="1" applyFill="1" applyBorder="1" applyAlignment="1">
      <alignment horizontal="left"/>
    </xf>
    <xf numFmtId="0" fontId="5" fillId="4" borderId="5" xfId="0" applyFont="1" applyFill="1" applyBorder="1" applyAlignment="1">
      <alignment horizontal="left"/>
    </xf>
    <xf numFmtId="167" fontId="0" fillId="0" borderId="6" xfId="0" applyNumberFormat="1" applyBorder="1" applyAlignment="1">
      <alignment horizontal="right"/>
    </xf>
    <xf numFmtId="167" fontId="0" fillId="0" borderId="7" xfId="0" applyNumberFormat="1" applyBorder="1" applyAlignment="1">
      <alignment horizontal="right"/>
    </xf>
    <xf numFmtId="0" fontId="0" fillId="0" borderId="6" xfId="0" applyBorder="1" applyAlignment="1">
      <alignment horizontal="left"/>
    </xf>
    <xf numFmtId="0" fontId="0" fillId="0" borderId="7" xfId="0" applyBorder="1" applyAlignment="1">
      <alignment horizontal="left"/>
    </xf>
    <xf numFmtId="0" fontId="0" fillId="0" borderId="5" xfId="0" applyBorder="1" applyAlignment="1">
      <alignment horizontal="left"/>
    </xf>
    <xf numFmtId="0" fontId="33" fillId="4" borderId="6" xfId="0" applyFont="1" applyFill="1" applyBorder="1" applyAlignment="1">
      <alignment horizontal="left"/>
    </xf>
    <xf numFmtId="0" fontId="33" fillId="4" borderId="7" xfId="0" applyFont="1" applyFill="1" applyBorder="1" applyAlignment="1">
      <alignment horizontal="left"/>
    </xf>
    <xf numFmtId="0" fontId="33" fillId="4" borderId="5" xfId="0" applyFont="1" applyFill="1" applyBorder="1" applyAlignment="1">
      <alignment horizontal="left"/>
    </xf>
    <xf numFmtId="167" fontId="33" fillId="4" borderId="6" xfId="0" applyNumberFormat="1" applyFont="1" applyFill="1" applyBorder="1" applyAlignment="1">
      <alignment horizontal="center"/>
    </xf>
    <xf numFmtId="167" fontId="33" fillId="4" borderId="7" xfId="0" applyNumberFormat="1" applyFont="1" applyFill="1" applyBorder="1" applyAlignment="1">
      <alignment horizontal="center"/>
    </xf>
    <xf numFmtId="167" fontId="33" fillId="4" borderId="5" xfId="0" applyNumberFormat="1" applyFont="1" applyFill="1" applyBorder="1" applyAlignment="1">
      <alignment horizontal="center"/>
    </xf>
    <xf numFmtId="0" fontId="5" fillId="5" borderId="36" xfId="0" applyFont="1" applyFill="1" applyBorder="1" applyAlignment="1">
      <alignment horizontal="center"/>
    </xf>
    <xf numFmtId="0" fontId="5" fillId="4" borderId="6" xfId="0" applyFont="1" applyFill="1" applyBorder="1" applyAlignment="1">
      <alignment horizontal="center"/>
    </xf>
    <xf numFmtId="0" fontId="5" fillId="4" borderId="7" xfId="0" applyFont="1" applyFill="1" applyBorder="1" applyAlignment="1">
      <alignment horizontal="center"/>
    </xf>
    <xf numFmtId="0" fontId="5" fillId="4" borderId="5" xfId="0" applyFont="1" applyFill="1" applyBorder="1" applyAlignment="1">
      <alignment horizontal="center"/>
    </xf>
    <xf numFmtId="0" fontId="58" fillId="0" borderId="55" xfId="0" applyFont="1" applyBorder="1" applyAlignment="1">
      <alignment horizontal="center"/>
    </xf>
    <xf numFmtId="167" fontId="60" fillId="0" borderId="56" xfId="0" applyNumberFormat="1" applyFont="1" applyBorder="1" applyAlignment="1" applyProtection="1">
      <alignment horizontal="center"/>
      <protection locked="0"/>
    </xf>
    <xf numFmtId="167" fontId="60" fillId="0" borderId="57" xfId="0" applyNumberFormat="1" applyFont="1" applyBorder="1" applyAlignment="1" applyProtection="1">
      <alignment horizontal="center"/>
      <protection locked="0"/>
    </xf>
    <xf numFmtId="0" fontId="37" fillId="2" borderId="0" xfId="0" applyFont="1" applyFill="1" applyBorder="1" applyAlignment="1">
      <alignment horizontal="left" vertical="center"/>
    </xf>
    <xf numFmtId="6" fontId="1" fillId="8" borderId="4" xfId="0" applyNumberFormat="1" applyFont="1" applyFill="1" applyBorder="1" applyAlignment="1" applyProtection="1">
      <alignment horizontal="right" vertical="center"/>
      <protection locked="0"/>
    </xf>
    <xf numFmtId="6" fontId="10" fillId="5" borderId="4" xfId="0" applyNumberFormat="1" applyFont="1" applyFill="1" applyBorder="1" applyAlignment="1" applyProtection="1">
      <alignment horizontal="right" vertical="center"/>
      <protection locked="0"/>
    </xf>
    <xf numFmtId="6" fontId="1" fillId="5" borderId="4" xfId="0" applyNumberFormat="1" applyFont="1" applyFill="1" applyBorder="1" applyAlignment="1" applyProtection="1">
      <alignment horizontal="right" vertical="center"/>
      <protection locked="0"/>
    </xf>
    <xf numFmtId="10" fontId="165" fillId="0" borderId="0" xfId="1" applyNumberFormat="1" applyFont="1" applyFill="1" applyBorder="1" applyAlignment="1" applyProtection="1">
      <alignment horizontal="left"/>
      <protection hidden="1"/>
    </xf>
    <xf numFmtId="6" fontId="1" fillId="7" borderId="172" xfId="0" applyNumberFormat="1" applyFont="1" applyFill="1" applyBorder="1" applyAlignment="1" applyProtection="1">
      <alignment horizontal="right" vertical="center"/>
      <protection locked="0"/>
    </xf>
    <xf numFmtId="6" fontId="1" fillId="7" borderId="173" xfId="0" applyNumberFormat="1" applyFont="1" applyFill="1" applyBorder="1" applyAlignment="1" applyProtection="1">
      <alignment horizontal="right" vertical="center"/>
      <protection locked="0"/>
    </xf>
    <xf numFmtId="0" fontId="124" fillId="2" borderId="15" xfId="0" applyFont="1" applyFill="1" applyBorder="1" applyAlignment="1">
      <alignment horizontal="center" vertical="center"/>
    </xf>
    <xf numFmtId="9" fontId="1" fillId="0" borderId="12" xfId="1" applyFont="1" applyBorder="1" applyAlignment="1" applyProtection="1">
      <alignment horizontal="center" vertical="center"/>
      <protection locked="0"/>
    </xf>
    <xf numFmtId="9" fontId="1" fillId="0" borderId="0" xfId="1" applyFont="1" applyAlignment="1" applyProtection="1">
      <alignment horizontal="center" vertical="center"/>
      <protection locked="0"/>
    </xf>
    <xf numFmtId="6" fontId="44" fillId="8" borderId="6" xfId="0" applyNumberFormat="1" applyFont="1" applyFill="1" applyBorder="1" applyAlignment="1" applyProtection="1">
      <alignment horizontal="right" vertical="center"/>
      <protection locked="0"/>
    </xf>
    <xf numFmtId="6" fontId="44" fillId="8" borderId="7" xfId="0" applyNumberFormat="1" applyFont="1" applyFill="1" applyBorder="1" applyAlignment="1" applyProtection="1">
      <alignment horizontal="right" vertical="center"/>
      <protection locked="0"/>
    </xf>
    <xf numFmtId="6" fontId="44" fillId="8" borderId="5" xfId="0" applyNumberFormat="1" applyFont="1" applyFill="1" applyBorder="1" applyAlignment="1" applyProtection="1">
      <alignment horizontal="right" vertical="center"/>
      <protection locked="0"/>
    </xf>
    <xf numFmtId="6" fontId="22" fillId="7" borderId="6" xfId="0" applyNumberFormat="1" applyFont="1" applyFill="1" applyBorder="1" applyAlignment="1" applyProtection="1">
      <alignment horizontal="right" vertical="center"/>
      <protection locked="0"/>
    </xf>
    <xf numFmtId="6" fontId="22" fillId="7" borderId="7" xfId="0" applyNumberFormat="1" applyFont="1" applyFill="1" applyBorder="1" applyAlignment="1" applyProtection="1">
      <alignment horizontal="right" vertical="center"/>
      <protection locked="0"/>
    </xf>
    <xf numFmtId="6" fontId="22" fillId="7" borderId="170" xfId="0" applyNumberFormat="1" applyFont="1" applyFill="1" applyBorder="1" applyAlignment="1" applyProtection="1">
      <alignment horizontal="right" vertical="center"/>
      <protection locked="0"/>
    </xf>
    <xf numFmtId="6" fontId="1" fillId="8" borderId="63" xfId="0" applyNumberFormat="1" applyFont="1" applyFill="1" applyBorder="1" applyAlignment="1" applyProtection="1">
      <alignment horizontal="right" vertical="center"/>
      <protection locked="0"/>
    </xf>
    <xf numFmtId="0" fontId="44" fillId="0" borderId="6" xfId="0" applyFont="1" applyBorder="1" applyAlignment="1" applyProtection="1">
      <alignment horizontal="center" vertical="top"/>
      <protection locked="0" hidden="1"/>
    </xf>
    <xf numFmtId="0" fontId="44" fillId="0" borderId="7" xfId="0" applyFont="1" applyBorder="1" applyAlignment="1" applyProtection="1">
      <alignment horizontal="center" vertical="top"/>
      <protection locked="0" hidden="1"/>
    </xf>
    <xf numFmtId="0" fontId="44" fillId="0" borderId="5" xfId="0" applyFont="1" applyBorder="1" applyAlignment="1" applyProtection="1">
      <alignment horizontal="center" vertical="top"/>
      <protection locked="0" hidden="1"/>
    </xf>
    <xf numFmtId="0" fontId="91" fillId="0" borderId="55" xfId="0" applyFont="1" applyBorder="1" applyAlignment="1">
      <alignment horizontal="center" wrapText="1"/>
    </xf>
    <xf numFmtId="6" fontId="1" fillId="7" borderId="166" xfId="0" applyNumberFormat="1" applyFont="1" applyFill="1" applyBorder="1" applyAlignment="1" applyProtection="1">
      <alignment horizontal="right" vertical="center"/>
      <protection locked="0"/>
    </xf>
    <xf numFmtId="6" fontId="1" fillId="7" borderId="167" xfId="0" applyNumberFormat="1" applyFont="1" applyFill="1" applyBorder="1" applyAlignment="1" applyProtection="1">
      <alignment horizontal="right" vertical="center"/>
      <protection locked="0"/>
    </xf>
    <xf numFmtId="6" fontId="1" fillId="7" borderId="168" xfId="0" applyNumberFormat="1" applyFont="1" applyFill="1" applyBorder="1" applyAlignment="1" applyProtection="1">
      <alignment horizontal="right" vertical="center"/>
      <protection locked="0"/>
    </xf>
    <xf numFmtId="0" fontId="114" fillId="2" borderId="0" xfId="0" applyFont="1" applyFill="1" applyBorder="1" applyAlignment="1">
      <alignment horizontal="left" vertical="center"/>
    </xf>
    <xf numFmtId="0" fontId="37" fillId="7" borderId="165" xfId="0" applyFont="1" applyFill="1" applyBorder="1" applyAlignment="1" applyProtection="1">
      <alignment horizontal="right" vertical="center" textRotation="90"/>
      <protection locked="0"/>
    </xf>
    <xf numFmtId="0" fontId="37" fillId="7" borderId="169" xfId="0" applyFont="1" applyFill="1" applyBorder="1" applyAlignment="1" applyProtection="1">
      <alignment horizontal="right" vertical="center" textRotation="90"/>
      <protection locked="0"/>
    </xf>
    <xf numFmtId="0" fontId="37" fillId="7" borderId="171" xfId="0" applyFont="1" applyFill="1" applyBorder="1" applyAlignment="1" applyProtection="1">
      <alignment horizontal="right" vertical="center" textRotation="90"/>
      <protection locked="0"/>
    </xf>
    <xf numFmtId="6" fontId="37" fillId="0" borderId="10" xfId="0" applyNumberFormat="1" applyFont="1" applyFill="1" applyBorder="1" applyAlignment="1" applyProtection="1">
      <alignment horizontal="right" vertical="center"/>
      <protection locked="0"/>
    </xf>
    <xf numFmtId="0" fontId="114" fillId="2" borderId="13" xfId="0" applyFont="1" applyFill="1" applyBorder="1" applyAlignment="1">
      <alignment vertical="center"/>
    </xf>
    <xf numFmtId="6" fontId="1" fillId="5" borderId="6" xfId="0" applyNumberFormat="1" applyFont="1" applyFill="1" applyBorder="1" applyAlignment="1" applyProtection="1">
      <alignment horizontal="right" vertical="center"/>
      <protection locked="0"/>
    </xf>
    <xf numFmtId="6" fontId="1" fillId="5" borderId="7" xfId="0" applyNumberFormat="1" applyFont="1" applyFill="1" applyBorder="1" applyAlignment="1" applyProtection="1">
      <alignment horizontal="right" vertical="center"/>
      <protection locked="0"/>
    </xf>
    <xf numFmtId="6" fontId="1" fillId="5" borderId="5" xfId="0" applyNumberFormat="1" applyFont="1" applyFill="1" applyBorder="1" applyAlignment="1" applyProtection="1">
      <alignment horizontal="right" vertical="center"/>
      <protection locked="0"/>
    </xf>
    <xf numFmtId="9" fontId="22" fillId="0" borderId="0" xfId="1" applyFont="1" applyBorder="1" applyAlignment="1" applyProtection="1">
      <alignment horizontal="center" vertical="center"/>
      <protection locked="0"/>
    </xf>
    <xf numFmtId="9" fontId="37" fillId="0" borderId="12" xfId="1" applyFont="1" applyBorder="1" applyAlignment="1" applyProtection="1">
      <alignment horizontal="center" vertical="center"/>
      <protection locked="0"/>
    </xf>
    <xf numFmtId="9" fontId="37" fillId="0" borderId="0" xfId="1" applyFont="1" applyAlignment="1" applyProtection="1">
      <alignment horizontal="center" vertical="center"/>
      <protection locked="0"/>
    </xf>
    <xf numFmtId="0" fontId="69" fillId="2" borderId="0" xfId="0" applyFont="1" applyFill="1" applyBorder="1" applyAlignment="1">
      <alignment horizontal="center" vertical="center"/>
    </xf>
    <xf numFmtId="0" fontId="37" fillId="9" borderId="13" xfId="0" applyFont="1" applyFill="1" applyBorder="1" applyAlignment="1" applyProtection="1">
      <alignment horizontal="right" vertical="center" textRotation="90"/>
      <protection locked="0"/>
    </xf>
    <xf numFmtId="167" fontId="1" fillId="8" borderId="0" xfId="0" applyNumberFormat="1" applyFont="1" applyFill="1" applyBorder="1" applyAlignment="1">
      <alignment horizontal="left" vertical="center"/>
    </xf>
    <xf numFmtId="164" fontId="1" fillId="8" borderId="0" xfId="1" applyNumberFormat="1" applyFont="1" applyFill="1" applyBorder="1" applyAlignment="1">
      <alignment horizontal="left" vertical="center"/>
    </xf>
    <xf numFmtId="6" fontId="22" fillId="5" borderId="6" xfId="0" applyNumberFormat="1" applyFont="1" applyFill="1" applyBorder="1" applyAlignment="1" applyProtection="1">
      <alignment horizontal="right" vertical="center"/>
      <protection locked="0"/>
    </xf>
    <xf numFmtId="0" fontId="22" fillId="5" borderId="7" xfId="0" applyFont="1" applyFill="1" applyBorder="1" applyAlignment="1" applyProtection="1">
      <alignment horizontal="right" vertical="center"/>
      <protection locked="0"/>
    </xf>
    <xf numFmtId="0" fontId="22" fillId="5" borderId="5" xfId="0" applyFont="1" applyFill="1" applyBorder="1" applyAlignment="1" applyProtection="1">
      <alignment horizontal="right" vertical="center"/>
      <protection locked="0"/>
    </xf>
    <xf numFmtId="6" fontId="1" fillId="29" borderId="4" xfId="0" applyNumberFormat="1" applyFont="1" applyFill="1" applyBorder="1" applyAlignment="1" applyProtection="1">
      <alignment horizontal="right" vertical="center"/>
      <protection locked="0"/>
    </xf>
    <xf numFmtId="6" fontId="22" fillId="0" borderId="6" xfId="0" applyNumberFormat="1" applyFont="1" applyFill="1" applyBorder="1" applyAlignment="1" applyProtection="1">
      <alignment horizontal="right" vertical="center"/>
      <protection locked="0"/>
    </xf>
    <xf numFmtId="0" fontId="22" fillId="0" borderId="7" xfId="0" applyFont="1" applyFill="1" applyBorder="1" applyAlignment="1" applyProtection="1">
      <alignment horizontal="right" vertical="center"/>
      <protection locked="0"/>
    </xf>
    <xf numFmtId="0" fontId="22" fillId="0" borderId="5" xfId="0" applyFont="1" applyFill="1" applyBorder="1" applyAlignment="1" applyProtection="1">
      <alignment horizontal="right" vertical="center"/>
      <protection locked="0"/>
    </xf>
    <xf numFmtId="0" fontId="22" fillId="2" borderId="0" xfId="0" applyFont="1" applyFill="1" applyBorder="1" applyAlignment="1">
      <alignment horizontal="left" vertical="center"/>
    </xf>
    <xf numFmtId="0" fontId="22" fillId="2" borderId="13" xfId="0" applyFont="1" applyFill="1" applyBorder="1" applyAlignment="1">
      <alignment horizontal="left" vertical="center"/>
    </xf>
    <xf numFmtId="0" fontId="37" fillId="2" borderId="13" xfId="0" applyFont="1" applyFill="1" applyBorder="1" applyAlignment="1">
      <alignment horizontal="left" vertical="center"/>
    </xf>
    <xf numFmtId="0" fontId="170" fillId="2" borderId="0" xfId="0" applyFont="1" applyFill="1" applyBorder="1" applyAlignment="1">
      <alignment horizontal="left"/>
    </xf>
    <xf numFmtId="0" fontId="1" fillId="0" borderId="0" xfId="0" applyFont="1" applyAlignment="1" applyProtection="1">
      <alignment horizontal="left" vertical="center"/>
      <protection locked="0"/>
    </xf>
    <xf numFmtId="0" fontId="170" fillId="2" borderId="0" xfId="0" applyFont="1" applyFill="1" applyBorder="1" applyAlignment="1">
      <alignment horizontal="left" vertical="center"/>
    </xf>
    <xf numFmtId="0" fontId="114" fillId="2" borderId="13" xfId="0" applyFont="1" applyFill="1" applyBorder="1" applyAlignment="1">
      <alignment horizontal="left" vertical="center"/>
    </xf>
    <xf numFmtId="0" fontId="61" fillId="0" borderId="0" xfId="0" applyFont="1" applyBorder="1" applyAlignment="1">
      <alignment horizontal="left" vertical="top" wrapText="1"/>
    </xf>
    <xf numFmtId="6" fontId="10" fillId="29" borderId="6" xfId="0" applyNumberFormat="1" applyFont="1" applyFill="1" applyBorder="1" applyAlignment="1" applyProtection="1">
      <alignment horizontal="right" vertical="center"/>
      <protection locked="0"/>
    </xf>
    <xf numFmtId="6" fontId="10" fillId="29" borderId="7" xfId="0" applyNumberFormat="1" applyFont="1" applyFill="1" applyBorder="1" applyAlignment="1" applyProtection="1">
      <alignment horizontal="right" vertical="center"/>
      <protection locked="0"/>
    </xf>
    <xf numFmtId="6" fontId="10" fillId="29" borderId="5" xfId="0" applyNumberFormat="1" applyFont="1" applyFill="1" applyBorder="1" applyAlignment="1" applyProtection="1">
      <alignment horizontal="right" vertical="center"/>
      <protection locked="0"/>
    </xf>
    <xf numFmtId="0" fontId="11" fillId="8" borderId="144" xfId="0" applyFont="1" applyFill="1" applyBorder="1" applyAlignment="1">
      <alignment horizontal="left" vertical="center"/>
    </xf>
    <xf numFmtId="9" fontId="69" fillId="9" borderId="12" xfId="1" applyFont="1" applyFill="1" applyBorder="1" applyAlignment="1" applyProtection="1">
      <alignment horizontal="right" vertical="center"/>
      <protection locked="0"/>
    </xf>
    <xf numFmtId="9" fontId="69" fillId="9" borderId="0" xfId="1" applyFont="1" applyFill="1" applyBorder="1" applyAlignment="1" applyProtection="1">
      <alignment horizontal="right" vertical="center"/>
      <protection locked="0"/>
    </xf>
    <xf numFmtId="167" fontId="69" fillId="9" borderId="0" xfId="0" applyNumberFormat="1" applyFont="1" applyFill="1" applyBorder="1" applyAlignment="1" applyProtection="1">
      <alignment horizontal="left" vertical="center"/>
      <protection locked="0"/>
    </xf>
    <xf numFmtId="0" fontId="146" fillId="0" borderId="0" xfId="0" applyFont="1" applyBorder="1" applyAlignment="1">
      <alignment horizontal="right" vertical="center"/>
    </xf>
    <xf numFmtId="14" fontId="1" fillId="8" borderId="0" xfId="0" applyNumberFormat="1" applyFont="1" applyFill="1" applyBorder="1" applyAlignment="1" applyProtection="1">
      <alignment horizontal="left" vertical="center"/>
      <protection locked="0"/>
    </xf>
    <xf numFmtId="167" fontId="10" fillId="29" borderId="6" xfId="0" applyNumberFormat="1" applyFont="1" applyFill="1" applyBorder="1" applyAlignment="1" applyProtection="1">
      <alignment horizontal="right" vertical="center"/>
      <protection locked="0"/>
    </xf>
    <xf numFmtId="167" fontId="10" fillId="29" borderId="7" xfId="0" applyNumberFormat="1" applyFont="1" applyFill="1" applyBorder="1" applyAlignment="1" applyProtection="1">
      <alignment horizontal="right" vertical="center"/>
      <protection locked="0"/>
    </xf>
    <xf numFmtId="6" fontId="44" fillId="8" borderId="12" xfId="0" applyNumberFormat="1" applyFont="1" applyFill="1" applyBorder="1" applyAlignment="1" applyProtection="1">
      <alignment horizontal="right" vertical="center"/>
      <protection locked="0"/>
    </xf>
    <xf numFmtId="6" fontId="44" fillId="8" borderId="0" xfId="0" applyNumberFormat="1" applyFont="1" applyFill="1" applyBorder="1" applyAlignment="1" applyProtection="1">
      <alignment horizontal="right" vertical="center"/>
      <protection locked="0"/>
    </xf>
    <xf numFmtId="0" fontId="146" fillId="9" borderId="0" xfId="0" applyFont="1" applyFill="1" applyBorder="1" applyAlignment="1">
      <alignment horizontal="left" vertical="center"/>
    </xf>
    <xf numFmtId="167" fontId="69" fillId="9" borderId="12" xfId="0" applyNumberFormat="1" applyFont="1" applyFill="1" applyBorder="1" applyAlignment="1" applyProtection="1">
      <alignment horizontal="left" vertical="center"/>
      <protection locked="0"/>
    </xf>
    <xf numFmtId="167" fontId="1" fillId="5" borderId="6" xfId="0" applyNumberFormat="1" applyFont="1" applyFill="1" applyBorder="1" applyAlignment="1" applyProtection="1">
      <alignment horizontal="right" vertical="center"/>
      <protection locked="0"/>
    </xf>
    <xf numFmtId="167" fontId="1" fillId="5" borderId="7" xfId="0" applyNumberFormat="1" applyFont="1" applyFill="1" applyBorder="1" applyAlignment="1" applyProtection="1">
      <alignment horizontal="right" vertical="center"/>
      <protection locked="0"/>
    </xf>
    <xf numFmtId="167" fontId="1" fillId="5" borderId="5" xfId="0" applyNumberFormat="1" applyFont="1" applyFill="1" applyBorder="1" applyAlignment="1" applyProtection="1">
      <alignment horizontal="right" vertical="center"/>
      <protection locked="0"/>
    </xf>
    <xf numFmtId="167" fontId="1" fillId="29" borderId="6" xfId="0" applyNumberFormat="1" applyFont="1" applyFill="1" applyBorder="1" applyAlignment="1" applyProtection="1">
      <alignment horizontal="right" vertical="center"/>
      <protection locked="0"/>
    </xf>
    <xf numFmtId="167" fontId="1" fillId="29" borderId="7" xfId="0" applyNumberFormat="1" applyFont="1" applyFill="1" applyBorder="1" applyAlignment="1" applyProtection="1">
      <alignment horizontal="right" vertical="center"/>
      <protection locked="0"/>
    </xf>
    <xf numFmtId="167" fontId="1" fillId="29" borderId="5" xfId="0" applyNumberFormat="1" applyFont="1" applyFill="1" applyBorder="1" applyAlignment="1" applyProtection="1">
      <alignment horizontal="right" vertical="center"/>
      <protection locked="0"/>
    </xf>
    <xf numFmtId="6" fontId="1" fillId="8" borderId="12" xfId="0" applyNumberFormat="1" applyFont="1" applyFill="1" applyBorder="1" applyAlignment="1" applyProtection="1">
      <alignment horizontal="right" vertical="center"/>
      <protection locked="0"/>
    </xf>
    <xf numFmtId="6" fontId="1" fillId="8" borderId="0" xfId="0" applyNumberFormat="1" applyFont="1" applyFill="1" applyBorder="1" applyAlignment="1" applyProtection="1">
      <alignment horizontal="right" vertical="center"/>
      <protection locked="0"/>
    </xf>
    <xf numFmtId="167" fontId="44" fillId="5" borderId="6" xfId="0" applyNumberFormat="1" applyFont="1" applyFill="1" applyBorder="1" applyAlignment="1" applyProtection="1">
      <alignment horizontal="right" vertical="center"/>
      <protection locked="0"/>
    </xf>
    <xf numFmtId="167" fontId="44" fillId="5" borderId="7" xfId="0" applyNumberFormat="1" applyFont="1" applyFill="1" applyBorder="1" applyAlignment="1" applyProtection="1">
      <alignment horizontal="right" vertical="center"/>
      <protection locked="0"/>
    </xf>
    <xf numFmtId="167" fontId="44" fillId="5" borderId="5" xfId="0" applyNumberFormat="1" applyFont="1" applyFill="1" applyBorder="1" applyAlignment="1" applyProtection="1">
      <alignment horizontal="right" vertical="center"/>
      <protection locked="0"/>
    </xf>
    <xf numFmtId="0" fontId="128" fillId="8" borderId="0" xfId="0" applyFont="1" applyFill="1" applyBorder="1" applyAlignment="1" applyProtection="1">
      <alignment horizontal="left" vertical="center"/>
      <protection locked="0"/>
    </xf>
    <xf numFmtId="0" fontId="2" fillId="8" borderId="51" xfId="0" applyFont="1" applyFill="1" applyBorder="1" applyAlignment="1" applyProtection="1">
      <alignment horizontal="left" vertical="top" wrapText="1"/>
      <protection locked="0"/>
    </xf>
    <xf numFmtId="0" fontId="2" fillId="8" borderId="52" xfId="0" applyFont="1" applyFill="1" applyBorder="1" applyAlignment="1" applyProtection="1">
      <alignment horizontal="left" vertical="top" wrapText="1"/>
      <protection locked="0"/>
    </xf>
    <xf numFmtId="0" fontId="2" fillId="8" borderId="5" xfId="0" applyFont="1" applyFill="1" applyBorder="1" applyAlignment="1" applyProtection="1">
      <alignment horizontal="left" vertical="top" wrapText="1"/>
      <protection locked="0"/>
    </xf>
    <xf numFmtId="0" fontId="132" fillId="0" borderId="0" xfId="0" applyFont="1" applyBorder="1" applyAlignment="1">
      <alignment horizontal="left" indent="1"/>
    </xf>
    <xf numFmtId="0" fontId="132" fillId="0" borderId="15" xfId="0" applyFont="1" applyBorder="1" applyAlignment="1" applyProtection="1">
      <alignment horizontal="right"/>
      <protection locked="0"/>
    </xf>
    <xf numFmtId="0" fontId="132" fillId="0" borderId="15" xfId="0" applyFont="1" applyBorder="1" applyAlignment="1">
      <alignment horizontal="right"/>
    </xf>
    <xf numFmtId="0" fontId="1" fillId="7" borderId="0" xfId="0" applyFont="1" applyFill="1" applyBorder="1" applyAlignment="1">
      <alignment horizontal="left"/>
    </xf>
    <xf numFmtId="6" fontId="11" fillId="7" borderId="0" xfId="0" applyNumberFormat="1" applyFont="1" applyFill="1" applyBorder="1" applyAlignment="1">
      <alignment horizontal="right" vertical="center" wrapText="1"/>
    </xf>
    <xf numFmtId="6" fontId="11" fillId="7" borderId="0" xfId="0" applyNumberFormat="1" applyFont="1" applyFill="1" applyBorder="1" applyAlignment="1">
      <alignment horizontal="left" vertical="center" wrapText="1"/>
    </xf>
    <xf numFmtId="0" fontId="1" fillId="7" borderId="0" xfId="0" applyFont="1" applyFill="1" applyBorder="1" applyAlignment="1">
      <alignment horizontal="right"/>
    </xf>
    <xf numFmtId="0" fontId="5" fillId="7" borderId="0" xfId="0" applyFont="1" applyFill="1" applyBorder="1" applyAlignment="1">
      <alignment horizontal="left"/>
    </xf>
    <xf numFmtId="0" fontId="69" fillId="2" borderId="27" xfId="0" applyFont="1" applyFill="1" applyBorder="1" applyAlignment="1">
      <alignment horizontal="left" vertical="center"/>
    </xf>
    <xf numFmtId="167" fontId="1" fillId="5" borderId="9" xfId="0" applyNumberFormat="1" applyFont="1" applyFill="1" applyBorder="1" applyAlignment="1" applyProtection="1">
      <alignment horizontal="right" vertical="center"/>
      <protection locked="0"/>
    </xf>
    <xf numFmtId="167" fontId="1" fillId="5" borderId="10" xfId="0" applyNumberFormat="1" applyFont="1" applyFill="1" applyBorder="1" applyAlignment="1" applyProtection="1">
      <alignment horizontal="right" vertical="center"/>
      <protection locked="0"/>
    </xf>
    <xf numFmtId="167" fontId="1" fillId="5" borderId="11" xfId="0" applyNumberFormat="1" applyFont="1" applyFill="1" applyBorder="1" applyAlignment="1" applyProtection="1">
      <alignment horizontal="right" vertical="center"/>
      <protection locked="0"/>
    </xf>
    <xf numFmtId="0" fontId="69" fillId="0" borderId="26" xfId="0" applyFont="1" applyBorder="1" applyAlignment="1">
      <alignment horizontal="left"/>
    </xf>
    <xf numFmtId="0" fontId="69" fillId="0" borderId="0" xfId="0" applyFont="1" applyBorder="1" applyAlignment="1">
      <alignment horizontal="left"/>
    </xf>
    <xf numFmtId="0" fontId="69" fillId="0" borderId="13" xfId="0" applyFont="1" applyBorder="1" applyAlignment="1">
      <alignment horizontal="left"/>
    </xf>
    <xf numFmtId="0" fontId="5" fillId="7" borderId="0" xfId="0" applyFont="1" applyFill="1" applyBorder="1" applyAlignment="1">
      <alignment horizontal="left" vertical="center"/>
    </xf>
    <xf numFmtId="0" fontId="133" fillId="0" borderId="0" xfId="0" applyFont="1" applyBorder="1" applyAlignment="1">
      <alignment horizontal="left" vertical="center"/>
    </xf>
    <xf numFmtId="0" fontId="30" fillId="0" borderId="0" xfId="0" applyFont="1" applyFill="1" applyBorder="1" applyAlignment="1" applyProtection="1">
      <alignment horizontal="center" vertical="center"/>
      <protection hidden="1"/>
    </xf>
    <xf numFmtId="0" fontId="101" fillId="0" borderId="0" xfId="0" applyFont="1" applyFill="1" applyBorder="1" applyAlignment="1" applyProtection="1">
      <alignment horizontal="center" vertical="center"/>
      <protection hidden="1"/>
    </xf>
    <xf numFmtId="0" fontId="74" fillId="32" borderId="177" xfId="0" applyFont="1" applyFill="1" applyBorder="1" applyAlignment="1" applyProtection="1">
      <alignment horizontal="center" vertical="center" wrapText="1"/>
      <protection hidden="1"/>
    </xf>
    <xf numFmtId="0" fontId="74" fillId="32" borderId="180" xfId="0" applyFont="1" applyFill="1" applyBorder="1" applyAlignment="1" applyProtection="1">
      <alignment horizontal="center" vertical="center" wrapText="1"/>
      <protection hidden="1"/>
    </xf>
    <xf numFmtId="0" fontId="0" fillId="0" borderId="227" xfId="3" applyNumberFormat="1" applyFont="1" applyFill="1" applyBorder="1" applyAlignment="1" applyProtection="1">
      <alignment horizontal="left"/>
      <protection hidden="1"/>
    </xf>
    <xf numFmtId="0" fontId="0" fillId="0" borderId="163" xfId="3" applyNumberFormat="1" applyFont="1" applyFill="1" applyBorder="1" applyAlignment="1" applyProtection="1">
      <alignment horizontal="left"/>
      <protection hidden="1"/>
    </xf>
    <xf numFmtId="0" fontId="0" fillId="0" borderId="229" xfId="3" applyNumberFormat="1" applyFont="1" applyFill="1" applyBorder="1" applyAlignment="1" applyProtection="1">
      <alignment horizontal="left"/>
      <protection hidden="1"/>
    </xf>
    <xf numFmtId="0" fontId="0" fillId="0" borderId="200" xfId="3" applyNumberFormat="1" applyFont="1" applyFill="1" applyBorder="1" applyAlignment="1" applyProtection="1">
      <alignment horizontal="left"/>
      <protection hidden="1"/>
    </xf>
    <xf numFmtId="44" fontId="0" fillId="28" borderId="176" xfId="0" applyNumberFormat="1" applyFont="1" applyFill="1" applyBorder="1" applyAlignment="1" applyProtection="1">
      <alignment horizontal="center"/>
      <protection hidden="1"/>
    </xf>
    <xf numFmtId="44" fontId="0" fillId="28" borderId="177" xfId="0" applyNumberFormat="1" applyFont="1" applyFill="1" applyBorder="1" applyAlignment="1" applyProtection="1">
      <alignment horizontal="center"/>
      <protection hidden="1"/>
    </xf>
    <xf numFmtId="173" fontId="33" fillId="28" borderId="181" xfId="0" applyNumberFormat="1" applyFont="1" applyFill="1" applyBorder="1" applyAlignment="1" applyProtection="1">
      <alignment horizontal="right"/>
      <protection hidden="1"/>
    </xf>
    <xf numFmtId="173" fontId="33" fillId="28" borderId="180" xfId="0" applyNumberFormat="1" applyFont="1" applyFill="1" applyBorder="1" applyAlignment="1" applyProtection="1">
      <alignment horizontal="right"/>
      <protection hidden="1"/>
    </xf>
    <xf numFmtId="44" fontId="33" fillId="28" borderId="181" xfId="3" applyFont="1" applyFill="1" applyBorder="1" applyAlignment="1" applyProtection="1">
      <alignment horizontal="right"/>
      <protection hidden="1"/>
    </xf>
    <xf numFmtId="44" fontId="33" fillId="28" borderId="180" xfId="3" applyFont="1" applyFill="1" applyBorder="1" applyAlignment="1" applyProtection="1">
      <alignment horizontal="right"/>
      <protection hidden="1"/>
    </xf>
    <xf numFmtId="0" fontId="11" fillId="25" borderId="214" xfId="0" applyFont="1" applyFill="1" applyBorder="1" applyAlignment="1" applyProtection="1">
      <alignment horizontal="right" vertical="top" wrapText="1"/>
      <protection hidden="1"/>
    </xf>
    <xf numFmtId="0" fontId="11" fillId="25" borderId="223" xfId="0" applyFont="1" applyFill="1" applyBorder="1" applyAlignment="1" applyProtection="1">
      <alignment horizontal="right" vertical="top" wrapText="1"/>
      <protection hidden="1"/>
    </xf>
    <xf numFmtId="14" fontId="176" fillId="25" borderId="213" xfId="0" applyNumberFormat="1" applyFont="1" applyFill="1" applyBorder="1" applyAlignment="1" applyProtection="1">
      <alignment horizontal="center" wrapText="1"/>
      <protection hidden="1"/>
    </xf>
    <xf numFmtId="14" fontId="176" fillId="25" borderId="223" xfId="0" applyNumberFormat="1" applyFont="1" applyFill="1" applyBorder="1" applyAlignment="1" applyProtection="1">
      <alignment horizontal="center" wrapText="1"/>
      <protection hidden="1"/>
    </xf>
    <xf numFmtId="14" fontId="5" fillId="25" borderId="176" xfId="0" applyNumberFormat="1" applyFont="1" applyFill="1" applyBorder="1" applyAlignment="1" applyProtection="1">
      <alignment horizontal="center" vertical="center"/>
      <protection hidden="1"/>
    </xf>
    <xf numFmtId="14" fontId="5" fillId="25" borderId="177" xfId="0" applyNumberFormat="1" applyFont="1" applyFill="1" applyBorder="1" applyAlignment="1" applyProtection="1">
      <alignment horizontal="center" vertical="center"/>
      <protection hidden="1"/>
    </xf>
    <xf numFmtId="0" fontId="0" fillId="0" borderId="187" xfId="3" applyNumberFormat="1" applyFont="1" applyFill="1" applyBorder="1" applyAlignment="1" applyProtection="1">
      <alignment horizontal="left"/>
      <protection hidden="1"/>
    </xf>
    <xf numFmtId="0" fontId="0" fillId="0" borderId="188" xfId="3" applyNumberFormat="1" applyFont="1" applyFill="1" applyBorder="1" applyAlignment="1" applyProtection="1">
      <alignment horizontal="left"/>
      <protection hidden="1"/>
    </xf>
    <xf numFmtId="14" fontId="0" fillId="0" borderId="160" xfId="0" applyNumberFormat="1" applyBorder="1" applyAlignment="1" applyProtection="1">
      <alignment horizontal="center"/>
      <protection hidden="1"/>
    </xf>
    <xf numFmtId="44" fontId="0" fillId="28" borderId="227" xfId="3" applyFont="1" applyFill="1" applyBorder="1" applyAlignment="1" applyProtection="1">
      <alignment horizontal="center"/>
      <protection hidden="1"/>
    </xf>
    <xf numFmtId="44" fontId="0" fillId="28" borderId="164" xfId="3" applyFont="1" applyFill="1" applyBorder="1" applyAlignment="1" applyProtection="1">
      <alignment horizontal="center"/>
      <protection hidden="1"/>
    </xf>
    <xf numFmtId="14" fontId="0" fillId="0" borderId="228" xfId="0" applyNumberFormat="1" applyBorder="1" applyAlignment="1" applyProtection="1">
      <alignment horizontal="center"/>
      <protection hidden="1"/>
    </xf>
    <xf numFmtId="44" fontId="0" fillId="28" borderId="229" xfId="3" applyFont="1" applyFill="1" applyBorder="1" applyAlignment="1" applyProtection="1">
      <alignment horizontal="center"/>
      <protection hidden="1"/>
    </xf>
    <xf numFmtId="44" fontId="0" fillId="28" borderId="230" xfId="3" applyFont="1" applyFill="1" applyBorder="1" applyAlignment="1" applyProtection="1">
      <alignment horizontal="center"/>
      <protection hidden="1"/>
    </xf>
    <xf numFmtId="14" fontId="0" fillId="0" borderId="225" xfId="0" applyNumberFormat="1" applyBorder="1" applyAlignment="1" applyProtection="1">
      <alignment horizontal="center"/>
      <protection hidden="1"/>
    </xf>
    <xf numFmtId="44" fontId="0" fillId="28" borderId="187" xfId="3" applyFont="1" applyFill="1" applyBorder="1" applyAlignment="1" applyProtection="1">
      <alignment horizontal="center"/>
      <protection hidden="1"/>
    </xf>
    <xf numFmtId="44" fontId="0" fillId="28" borderId="226" xfId="3" applyFont="1" applyFill="1" applyBorder="1" applyAlignment="1" applyProtection="1">
      <alignment horizontal="center"/>
      <protection hidden="1"/>
    </xf>
    <xf numFmtId="0" fontId="47" fillId="0" borderId="176" xfId="0" applyFont="1" applyBorder="1" applyAlignment="1" applyProtection="1">
      <alignment horizontal="left" vertical="center"/>
      <protection hidden="1"/>
    </xf>
    <xf numFmtId="0" fontId="47" fillId="0" borderId="177" xfId="0" applyFont="1" applyBorder="1" applyAlignment="1" applyProtection="1">
      <alignment horizontal="left" vertical="center"/>
      <protection hidden="1"/>
    </xf>
    <xf numFmtId="14" fontId="147" fillId="28" borderId="176" xfId="0" applyNumberFormat="1" applyFont="1" applyFill="1" applyBorder="1" applyAlignment="1" applyProtection="1">
      <alignment horizontal="center" vertical="center" wrapText="1"/>
      <protection hidden="1"/>
    </xf>
    <xf numFmtId="14" fontId="147" fillId="28" borderId="177" xfId="0" applyNumberFormat="1" applyFont="1" applyFill="1" applyBorder="1" applyAlignment="1" applyProtection="1">
      <alignment horizontal="center" vertical="center" wrapText="1"/>
      <protection hidden="1"/>
    </xf>
    <xf numFmtId="14" fontId="147" fillId="28" borderId="179" xfId="0" applyNumberFormat="1" applyFont="1" applyFill="1" applyBorder="1" applyAlignment="1" applyProtection="1">
      <alignment horizontal="center" vertical="center" wrapText="1"/>
      <protection hidden="1"/>
    </xf>
    <xf numFmtId="14" fontId="147" fillId="28" borderId="180" xfId="0" applyNumberFormat="1" applyFont="1" applyFill="1" applyBorder="1" applyAlignment="1" applyProtection="1">
      <alignment horizontal="center" vertical="center" wrapText="1"/>
      <protection hidden="1"/>
    </xf>
    <xf numFmtId="14" fontId="5" fillId="28" borderId="189" xfId="0" applyNumberFormat="1" applyFont="1" applyFill="1" applyBorder="1" applyAlignment="1" applyProtection="1">
      <alignment horizontal="center" vertical="center"/>
      <protection hidden="1"/>
    </xf>
    <xf numFmtId="14" fontId="5" fillId="28" borderId="186" xfId="0" applyNumberFormat="1" applyFont="1" applyFill="1" applyBorder="1" applyAlignment="1" applyProtection="1">
      <alignment horizontal="center" vertical="center"/>
      <protection hidden="1"/>
    </xf>
    <xf numFmtId="14" fontId="0" fillId="0" borderId="54" xfId="0" applyNumberFormat="1" applyBorder="1" applyAlignment="1" applyProtection="1">
      <alignment horizontal="center"/>
      <protection hidden="1"/>
    </xf>
    <xf numFmtId="14" fontId="0" fillId="0" borderId="162" xfId="0" applyNumberFormat="1" applyBorder="1" applyAlignment="1" applyProtection="1">
      <alignment horizontal="center"/>
      <protection hidden="1"/>
    </xf>
    <xf numFmtId="0" fontId="5" fillId="28" borderId="202" xfId="0" applyFont="1" applyFill="1" applyBorder="1" applyAlignment="1" applyProtection="1">
      <alignment horizontal="right"/>
      <protection hidden="1"/>
    </xf>
    <xf numFmtId="0" fontId="5" fillId="28" borderId="211" xfId="0" applyFont="1" applyFill="1" applyBorder="1" applyAlignment="1" applyProtection="1">
      <alignment horizontal="right"/>
      <protection hidden="1"/>
    </xf>
    <xf numFmtId="0" fontId="5" fillId="8" borderId="215" xfId="0" applyFont="1" applyFill="1" applyBorder="1" applyAlignment="1" applyProtection="1">
      <alignment horizontal="left"/>
      <protection hidden="1"/>
    </xf>
    <xf numFmtId="0" fontId="5" fillId="8" borderId="216" xfId="0" applyFont="1" applyFill="1" applyBorder="1" applyAlignment="1" applyProtection="1">
      <alignment horizontal="left"/>
      <protection hidden="1"/>
    </xf>
    <xf numFmtId="0" fontId="5" fillId="8" borderId="217" xfId="0" applyFont="1" applyFill="1" applyBorder="1" applyAlignment="1" applyProtection="1">
      <alignment horizontal="left"/>
      <protection hidden="1"/>
    </xf>
    <xf numFmtId="0" fontId="36" fillId="29" borderId="206" xfId="0" applyFont="1" applyFill="1" applyBorder="1" applyAlignment="1" applyProtection="1">
      <alignment horizontal="left" vertical="top" wrapText="1"/>
      <protection hidden="1"/>
    </xf>
    <xf numFmtId="0" fontId="36" fillId="29" borderId="0" xfId="0" applyFont="1" applyFill="1" applyBorder="1" applyAlignment="1" applyProtection="1">
      <alignment horizontal="left" vertical="top"/>
      <protection hidden="1"/>
    </xf>
    <xf numFmtId="0" fontId="36" fillId="29" borderId="207" xfId="0" applyFont="1" applyFill="1" applyBorder="1" applyAlignment="1" applyProtection="1">
      <alignment horizontal="left" vertical="top"/>
      <protection hidden="1"/>
    </xf>
    <xf numFmtId="0" fontId="36" fillId="29" borderId="206" xfId="0" applyFont="1" applyFill="1" applyBorder="1" applyAlignment="1" applyProtection="1">
      <alignment horizontal="left" vertical="top"/>
      <protection hidden="1"/>
    </xf>
    <xf numFmtId="0" fontId="36" fillId="29" borderId="179" xfId="0" applyFont="1" applyFill="1" applyBorder="1" applyAlignment="1" applyProtection="1">
      <alignment horizontal="left" vertical="top"/>
      <protection hidden="1"/>
    </xf>
    <xf numFmtId="0" fontId="36" fillId="29" borderId="181" xfId="0" applyFont="1" applyFill="1" applyBorder="1" applyAlignment="1" applyProtection="1">
      <alignment horizontal="left" vertical="top"/>
      <protection hidden="1"/>
    </xf>
    <xf numFmtId="0" fontId="177" fillId="28" borderId="176" xfId="0" applyFont="1" applyFill="1" applyBorder="1" applyAlignment="1" applyProtection="1">
      <alignment horizontal="left" vertical="center"/>
      <protection hidden="1"/>
    </xf>
    <xf numFmtId="0" fontId="177" fillId="28" borderId="178" xfId="0" applyFont="1" applyFill="1" applyBorder="1" applyAlignment="1" applyProtection="1">
      <alignment horizontal="left" vertical="center"/>
      <protection hidden="1"/>
    </xf>
    <xf numFmtId="0" fontId="177" fillId="28" borderId="177" xfId="0" applyFont="1" applyFill="1" applyBorder="1" applyAlignment="1" applyProtection="1">
      <alignment horizontal="left" vertical="center"/>
      <protection hidden="1"/>
    </xf>
    <xf numFmtId="0" fontId="147" fillId="31" borderId="213" xfId="0" applyFont="1" applyFill="1" applyBorder="1" applyAlignment="1" applyProtection="1">
      <alignment horizontal="center" vertical="center" wrapText="1"/>
      <protection hidden="1"/>
    </xf>
    <xf numFmtId="0" fontId="147" fillId="31" borderId="223" xfId="0" applyFont="1" applyFill="1" applyBorder="1" applyAlignment="1" applyProtection="1">
      <alignment horizontal="center" vertical="center" wrapText="1"/>
      <protection hidden="1"/>
    </xf>
    <xf numFmtId="14" fontId="5" fillId="28" borderId="202" xfId="0" applyNumberFormat="1" applyFont="1" applyFill="1" applyBorder="1" applyAlignment="1" applyProtection="1">
      <alignment horizontal="center"/>
      <protection hidden="1"/>
    </xf>
    <xf numFmtId="14" fontId="5" fillId="28" borderId="211" xfId="0" applyNumberFormat="1" applyFont="1" applyFill="1" applyBorder="1" applyAlignment="1" applyProtection="1">
      <alignment horizontal="center"/>
      <protection hidden="1"/>
    </xf>
    <xf numFmtId="0" fontId="47" fillId="28" borderId="176" xfId="0" applyFont="1" applyFill="1" applyBorder="1" applyAlignment="1" applyProtection="1">
      <alignment horizontal="center" vertical="center"/>
      <protection hidden="1"/>
    </xf>
    <xf numFmtId="0" fontId="47" fillId="28" borderId="177" xfId="0" applyFont="1" applyFill="1" applyBorder="1" applyAlignment="1" applyProtection="1">
      <alignment horizontal="center" vertical="center"/>
      <protection hidden="1"/>
    </xf>
    <xf numFmtId="0" fontId="47" fillId="28" borderId="179" xfId="0" applyFont="1" applyFill="1" applyBorder="1" applyAlignment="1" applyProtection="1">
      <alignment horizontal="center" vertical="center"/>
      <protection hidden="1"/>
    </xf>
    <xf numFmtId="0" fontId="47" fillId="28" borderId="180" xfId="0" applyFont="1" applyFill="1" applyBorder="1" applyAlignment="1" applyProtection="1">
      <alignment horizontal="center" vertical="center"/>
      <protection hidden="1"/>
    </xf>
    <xf numFmtId="0" fontId="47" fillId="0" borderId="176" xfId="0" applyFont="1" applyFill="1" applyBorder="1" applyAlignment="1" applyProtection="1">
      <alignment horizontal="left" vertical="center" wrapText="1"/>
      <protection hidden="1"/>
    </xf>
    <xf numFmtId="0" fontId="47" fillId="0" borderId="178" xfId="0" applyFont="1" applyFill="1" applyBorder="1" applyAlignment="1" applyProtection="1">
      <alignment horizontal="left" vertical="center" wrapText="1"/>
      <protection hidden="1"/>
    </xf>
    <xf numFmtId="0" fontId="47" fillId="0" borderId="179" xfId="0" applyFont="1" applyFill="1" applyBorder="1" applyAlignment="1" applyProtection="1">
      <alignment horizontal="left" vertical="center" wrapText="1"/>
      <protection hidden="1"/>
    </xf>
    <xf numFmtId="0" fontId="47" fillId="0" borderId="181" xfId="0" applyFont="1" applyFill="1" applyBorder="1" applyAlignment="1" applyProtection="1">
      <alignment horizontal="left" vertical="center" wrapText="1"/>
      <protection hidden="1"/>
    </xf>
    <xf numFmtId="10" fontId="11" fillId="28" borderId="176" xfId="0" applyNumberFormat="1" applyFont="1" applyFill="1" applyBorder="1" applyAlignment="1" applyProtection="1">
      <alignment horizontal="left" vertical="center" wrapText="1"/>
      <protection hidden="1"/>
    </xf>
    <xf numFmtId="10" fontId="11" fillId="28" borderId="178" xfId="0" applyNumberFormat="1" applyFont="1" applyFill="1" applyBorder="1" applyAlignment="1" applyProtection="1">
      <alignment horizontal="left" vertical="center" wrapText="1"/>
      <protection hidden="1"/>
    </xf>
    <xf numFmtId="10" fontId="11" fillId="28" borderId="177" xfId="0" applyNumberFormat="1" applyFont="1" applyFill="1" applyBorder="1" applyAlignment="1" applyProtection="1">
      <alignment horizontal="left" vertical="center" wrapText="1"/>
      <protection hidden="1"/>
    </xf>
    <xf numFmtId="10" fontId="11" fillId="28" borderId="179" xfId="0" applyNumberFormat="1" applyFont="1" applyFill="1" applyBorder="1" applyAlignment="1" applyProtection="1">
      <alignment horizontal="left" vertical="center" wrapText="1"/>
      <protection hidden="1"/>
    </xf>
    <xf numFmtId="10" fontId="11" fillId="28" borderId="181" xfId="0" applyNumberFormat="1" applyFont="1" applyFill="1" applyBorder="1" applyAlignment="1" applyProtection="1">
      <alignment horizontal="left" vertical="center" wrapText="1"/>
      <protection hidden="1"/>
    </xf>
    <xf numFmtId="10" fontId="11" fillId="28" borderId="180" xfId="0" applyNumberFormat="1" applyFont="1" applyFill="1" applyBorder="1" applyAlignment="1" applyProtection="1">
      <alignment horizontal="left" vertical="center" wrapText="1"/>
      <protection hidden="1"/>
    </xf>
    <xf numFmtId="0" fontId="5" fillId="28" borderId="182" xfId="0" applyFont="1" applyFill="1" applyBorder="1" applyAlignment="1" applyProtection="1">
      <alignment horizontal="center" vertical="center"/>
      <protection hidden="1"/>
    </xf>
    <xf numFmtId="0" fontId="5" fillId="28" borderId="183" xfId="0" applyFont="1" applyFill="1" applyBorder="1" applyAlignment="1" applyProtection="1">
      <alignment horizontal="center" vertical="center"/>
      <protection hidden="1"/>
    </xf>
    <xf numFmtId="0" fontId="5" fillId="28" borderId="191" xfId="0" applyFont="1" applyFill="1" applyBorder="1" applyAlignment="1" applyProtection="1">
      <alignment horizontal="center" vertical="center"/>
      <protection hidden="1"/>
    </xf>
    <xf numFmtId="0" fontId="5" fillId="28" borderId="192" xfId="0" applyFont="1" applyFill="1" applyBorder="1" applyAlignment="1" applyProtection="1">
      <alignment horizontal="center" vertical="center"/>
      <protection hidden="1"/>
    </xf>
    <xf numFmtId="0" fontId="5" fillId="28" borderId="184" xfId="0" applyFont="1" applyFill="1" applyBorder="1" applyAlignment="1" applyProtection="1">
      <alignment horizontal="center" vertical="center" wrapText="1"/>
      <protection hidden="1"/>
    </xf>
    <xf numFmtId="0" fontId="5" fillId="28" borderId="193" xfId="0" applyFont="1" applyFill="1" applyBorder="1" applyAlignment="1" applyProtection="1">
      <alignment horizontal="center" vertical="center" wrapText="1"/>
      <protection hidden="1"/>
    </xf>
    <xf numFmtId="0" fontId="5" fillId="28" borderId="185" xfId="0" applyFont="1" applyFill="1" applyBorder="1" applyAlignment="1" applyProtection="1">
      <alignment horizontal="center" vertical="center"/>
      <protection hidden="1"/>
    </xf>
    <xf numFmtId="0" fontId="5" fillId="28" borderId="186" xfId="0" applyFont="1" applyFill="1" applyBorder="1" applyAlignment="1" applyProtection="1">
      <alignment horizontal="center" vertical="center"/>
      <protection hidden="1"/>
    </xf>
    <xf numFmtId="10" fontId="5" fillId="28" borderId="187" xfId="0" applyNumberFormat="1" applyFont="1" applyFill="1" applyBorder="1" applyAlignment="1" applyProtection="1">
      <alignment horizontal="center" vertical="center" wrapText="1"/>
      <protection hidden="1"/>
    </xf>
    <xf numFmtId="10" fontId="5" fillId="28" borderId="188" xfId="0" applyNumberFormat="1" applyFont="1" applyFill="1" applyBorder="1" applyAlignment="1" applyProtection="1">
      <alignment horizontal="center" vertical="center" wrapText="1"/>
      <protection hidden="1"/>
    </xf>
    <xf numFmtId="10" fontId="74" fillId="28" borderId="186" xfId="0" applyNumberFormat="1" applyFont="1" applyFill="1" applyBorder="1" applyAlignment="1" applyProtection="1">
      <alignment horizontal="center" vertical="center" wrapText="1"/>
      <protection hidden="1"/>
    </xf>
    <xf numFmtId="10" fontId="74" fillId="28" borderId="189" xfId="0" applyNumberFormat="1" applyFont="1" applyFill="1" applyBorder="1" applyAlignment="1" applyProtection="1">
      <alignment horizontal="center" vertical="center" wrapText="1"/>
      <protection hidden="1"/>
    </xf>
    <xf numFmtId="10" fontId="176" fillId="28" borderId="190" xfId="0" applyNumberFormat="1" applyFont="1" applyFill="1" applyBorder="1" applyAlignment="1" applyProtection="1">
      <alignment horizontal="center" vertical="center" wrapText="1"/>
      <protection hidden="1"/>
    </xf>
    <xf numFmtId="10" fontId="176" fillId="28" borderId="194" xfId="0" applyNumberFormat="1" applyFont="1" applyFill="1" applyBorder="1" applyAlignment="1" applyProtection="1">
      <alignment horizontal="center" vertical="center" wrapText="1"/>
      <protection hidden="1"/>
    </xf>
    <xf numFmtId="0" fontId="147" fillId="9" borderId="160" xfId="0" applyFont="1" applyFill="1" applyBorder="1" applyAlignment="1" applyProtection="1">
      <alignment horizontal="center" vertical="center"/>
      <protection hidden="1"/>
    </xf>
    <xf numFmtId="0" fontId="47" fillId="0" borderId="195" xfId="0" applyFont="1" applyBorder="1" applyAlignment="1" applyProtection="1">
      <alignment horizontal="center"/>
      <protection hidden="1"/>
    </xf>
    <xf numFmtId="0" fontId="47" fillId="0" borderId="196" xfId="0" applyFont="1" applyBorder="1" applyAlignment="1" applyProtection="1">
      <alignment horizontal="center"/>
      <protection hidden="1"/>
    </xf>
    <xf numFmtId="44" fontId="147" fillId="28" borderId="199" xfId="3" applyFont="1" applyFill="1" applyBorder="1" applyAlignment="1" applyProtection="1">
      <alignment horizontal="center" vertical="center" wrapText="1"/>
      <protection hidden="1"/>
    </xf>
    <xf numFmtId="44" fontId="147" fillId="28" borderId="200" xfId="3" applyFont="1" applyFill="1" applyBorder="1" applyAlignment="1" applyProtection="1">
      <alignment horizontal="center" vertical="center" wrapText="1"/>
      <protection hidden="1"/>
    </xf>
    <xf numFmtId="0" fontId="101" fillId="30" borderId="202" xfId="0" applyFont="1" applyFill="1" applyBorder="1" applyAlignment="1" applyProtection="1">
      <alignment horizontal="center" vertical="center"/>
      <protection hidden="1"/>
    </xf>
    <xf numFmtId="0" fontId="101" fillId="30" borderId="203" xfId="0" applyFont="1" applyFill="1" applyBorder="1" applyAlignment="1" applyProtection="1">
      <alignment horizontal="center" vertical="center"/>
      <protection hidden="1"/>
    </xf>
    <xf numFmtId="0" fontId="101" fillId="30" borderId="204" xfId="0" applyFont="1" applyFill="1" applyBorder="1" applyAlignment="1" applyProtection="1">
      <alignment horizontal="center" vertical="center"/>
      <protection hidden="1"/>
    </xf>
    <xf numFmtId="0" fontId="101" fillId="30" borderId="205" xfId="0" applyFont="1" applyFill="1" applyBorder="1" applyAlignment="1" applyProtection="1">
      <alignment horizontal="center" vertical="center"/>
      <protection hidden="1"/>
    </xf>
    <xf numFmtId="0" fontId="47" fillId="0" borderId="206" xfId="0" applyFont="1" applyBorder="1" applyAlignment="1" applyProtection="1">
      <alignment horizontal="left" vertical="center"/>
      <protection hidden="1"/>
    </xf>
    <xf numFmtId="0" fontId="47" fillId="0" borderId="207" xfId="0" applyFont="1" applyBorder="1" applyAlignment="1" applyProtection="1">
      <alignment horizontal="left" vertical="center"/>
      <protection hidden="1"/>
    </xf>
    <xf numFmtId="167" fontId="1" fillId="8" borderId="6" xfId="0" applyNumberFormat="1" applyFont="1" applyFill="1" applyBorder="1" applyAlignment="1" applyProtection="1">
      <alignment horizontal="left" vertical="center"/>
      <protection locked="0"/>
    </xf>
    <xf numFmtId="167" fontId="1" fillId="8" borderId="7" xfId="0" applyNumberFormat="1" applyFont="1" applyFill="1" applyBorder="1" applyAlignment="1" applyProtection="1">
      <alignment horizontal="left" vertical="center"/>
      <protection locked="0"/>
    </xf>
    <xf numFmtId="167" fontId="1" fillId="8" borderId="5" xfId="0" applyNumberFormat="1" applyFont="1" applyFill="1" applyBorder="1" applyAlignment="1" applyProtection="1">
      <alignment horizontal="left" vertical="center"/>
      <protection locked="0"/>
    </xf>
    <xf numFmtId="167" fontId="15" fillId="8" borderId="7" xfId="2" applyNumberFormat="1" applyFill="1" applyBorder="1" applyAlignment="1" applyProtection="1">
      <alignment horizontal="left" vertical="center"/>
      <protection locked="0"/>
    </xf>
    <xf numFmtId="9" fontId="22" fillId="25" borderId="6" xfId="1" applyFont="1" applyFill="1" applyBorder="1" applyAlignment="1" applyProtection="1">
      <alignment horizontal="center" vertical="center"/>
      <protection locked="0"/>
    </xf>
    <xf numFmtId="9" fontId="22" fillId="25" borderId="7" xfId="1" applyFont="1" applyFill="1" applyBorder="1" applyAlignment="1" applyProtection="1">
      <alignment horizontal="center" vertical="center"/>
      <protection locked="0"/>
    </xf>
    <xf numFmtId="9" fontId="22" fillId="25" borderId="5" xfId="1" applyFont="1" applyFill="1" applyBorder="1" applyAlignment="1" applyProtection="1">
      <alignment horizontal="center" vertical="center"/>
      <protection locked="0"/>
    </xf>
    <xf numFmtId="0" fontId="69" fillId="0" borderId="12" xfId="0" applyFont="1" applyFill="1" applyBorder="1" applyAlignment="1" applyProtection="1">
      <alignment horizontal="right" vertical="center"/>
      <protection locked="0"/>
    </xf>
    <xf numFmtId="0" fontId="69" fillId="0" borderId="0" xfId="0" applyFont="1" applyFill="1" applyBorder="1" applyAlignment="1" applyProtection="1">
      <alignment horizontal="right" vertical="center"/>
      <protection locked="0"/>
    </xf>
    <xf numFmtId="0" fontId="22" fillId="8" borderId="6" xfId="0" applyFont="1" applyFill="1" applyBorder="1" applyAlignment="1" applyProtection="1">
      <alignment horizontal="left" vertical="center"/>
      <protection locked="0"/>
    </xf>
    <xf numFmtId="0" fontId="22" fillId="8" borderId="7" xfId="0" applyFont="1" applyFill="1" applyBorder="1" applyAlignment="1" applyProtection="1">
      <alignment horizontal="left" vertical="center"/>
      <protection locked="0"/>
    </xf>
    <xf numFmtId="0" fontId="22" fillId="8" borderId="5" xfId="0" applyFont="1" applyFill="1" applyBorder="1" applyAlignment="1" applyProtection="1">
      <alignment horizontal="left" vertical="center"/>
      <protection locked="0"/>
    </xf>
    <xf numFmtId="167" fontId="22" fillId="25" borderId="6" xfId="0" applyNumberFormat="1" applyFont="1" applyFill="1" applyBorder="1" applyAlignment="1" applyProtection="1">
      <alignment horizontal="right" vertical="center"/>
      <protection locked="0"/>
    </xf>
    <xf numFmtId="167" fontId="22" fillId="25" borderId="7" xfId="0" applyNumberFormat="1" applyFont="1" applyFill="1" applyBorder="1" applyAlignment="1" applyProtection="1">
      <alignment horizontal="right" vertical="center"/>
      <protection locked="0"/>
    </xf>
    <xf numFmtId="167" fontId="22" fillId="25" borderId="5" xfId="0" applyNumberFormat="1" applyFont="1" applyFill="1" applyBorder="1" applyAlignment="1" applyProtection="1">
      <alignment horizontal="right" vertical="center"/>
      <protection locked="0"/>
    </xf>
    <xf numFmtId="167" fontId="46" fillId="26" borderId="126" xfId="0" applyNumberFormat="1" applyFont="1" applyFill="1" applyBorder="1" applyAlignment="1" applyProtection="1">
      <alignment horizontal="right" vertical="center"/>
      <protection locked="0"/>
    </xf>
    <xf numFmtId="167" fontId="46" fillId="26" borderId="127" xfId="0" applyNumberFormat="1" applyFont="1" applyFill="1" applyBorder="1" applyAlignment="1" applyProtection="1">
      <alignment horizontal="right" vertical="center"/>
      <protection locked="0"/>
    </xf>
    <xf numFmtId="167" fontId="46" fillId="26" borderId="128" xfId="0" applyNumberFormat="1" applyFont="1" applyFill="1" applyBorder="1" applyAlignment="1" applyProtection="1">
      <alignment horizontal="right" vertical="center"/>
      <protection locked="0"/>
    </xf>
    <xf numFmtId="167" fontId="22" fillId="26" borderId="6" xfId="0" applyNumberFormat="1" applyFont="1" applyFill="1" applyBorder="1" applyAlignment="1" applyProtection="1">
      <alignment horizontal="left" vertical="center"/>
      <protection locked="0"/>
    </xf>
    <xf numFmtId="167" fontId="22" fillId="26" borderId="7" xfId="0" applyNumberFormat="1" applyFont="1" applyFill="1" applyBorder="1" applyAlignment="1" applyProtection="1">
      <alignment horizontal="left" vertical="center"/>
      <protection locked="0"/>
    </xf>
    <xf numFmtId="167" fontId="22" fillId="26" borderId="5" xfId="0" applyNumberFormat="1" applyFont="1" applyFill="1" applyBorder="1" applyAlignment="1" applyProtection="1">
      <alignment horizontal="left" vertical="center"/>
      <protection locked="0"/>
    </xf>
    <xf numFmtId="0" fontId="1" fillId="0" borderId="15" xfId="0" applyFont="1" applyBorder="1" applyAlignment="1">
      <alignment horizontal="left" vertical="center"/>
    </xf>
    <xf numFmtId="167" fontId="22" fillId="0" borderId="0" xfId="0" applyNumberFormat="1" applyFont="1" applyFill="1" applyBorder="1" applyAlignment="1" applyProtection="1">
      <alignment horizontal="right" vertical="center"/>
      <protection locked="0"/>
    </xf>
    <xf numFmtId="9" fontId="22" fillId="0" borderId="0" xfId="1" applyFont="1" applyFill="1" applyBorder="1" applyAlignment="1" applyProtection="1">
      <alignment horizontal="center" vertical="center"/>
      <protection locked="0"/>
    </xf>
    <xf numFmtId="167" fontId="1" fillId="9" borderId="15" xfId="0" applyNumberFormat="1" applyFont="1" applyFill="1" applyBorder="1" applyAlignment="1" applyProtection="1">
      <alignment horizontal="right" vertical="center"/>
      <protection locked="0"/>
    </xf>
    <xf numFmtId="167" fontId="10" fillId="9" borderId="15" xfId="0" applyNumberFormat="1" applyFont="1" applyFill="1" applyBorder="1" applyAlignment="1" applyProtection="1">
      <alignment horizontal="right" vertical="center"/>
      <protection locked="0"/>
    </xf>
    <xf numFmtId="167" fontId="46" fillId="26" borderId="6" xfId="0" applyNumberFormat="1" applyFont="1" applyFill="1" applyBorder="1" applyAlignment="1" applyProtection="1">
      <alignment horizontal="right" vertical="center"/>
      <protection locked="0"/>
    </xf>
    <xf numFmtId="167" fontId="46" fillId="26" borderId="7" xfId="0" applyNumberFormat="1" applyFont="1" applyFill="1" applyBorder="1" applyAlignment="1" applyProtection="1">
      <alignment horizontal="right" vertical="center"/>
      <protection locked="0"/>
    </xf>
    <xf numFmtId="167" fontId="46" fillId="26" borderId="5" xfId="0" applyNumberFormat="1" applyFont="1" applyFill="1" applyBorder="1" applyAlignment="1" applyProtection="1">
      <alignment horizontal="right" vertical="center"/>
      <protection locked="0"/>
    </xf>
    <xf numFmtId="167" fontId="1" fillId="9" borderId="15" xfId="0" applyNumberFormat="1" applyFont="1" applyFill="1" applyBorder="1" applyAlignment="1" applyProtection="1">
      <alignment horizontal="left" vertical="center"/>
      <protection locked="0"/>
    </xf>
    <xf numFmtId="0" fontId="10" fillId="8" borderId="0" xfId="0" applyFont="1" applyFill="1" applyBorder="1" applyAlignment="1" applyProtection="1">
      <alignment horizontal="left" vertical="center"/>
      <protection locked="0"/>
    </xf>
    <xf numFmtId="0" fontId="69" fillId="0" borderId="14" xfId="0" applyFont="1" applyFill="1" applyBorder="1" applyAlignment="1" applyProtection="1">
      <alignment horizontal="right" vertical="center"/>
      <protection locked="0"/>
    </xf>
    <xf numFmtId="0" fontId="69" fillId="0" borderId="15" xfId="0" applyFont="1" applyFill="1" applyBorder="1" applyAlignment="1" applyProtection="1">
      <alignment horizontal="right" vertical="center"/>
      <protection locked="0"/>
    </xf>
    <xf numFmtId="0" fontId="101" fillId="24" borderId="126" xfId="0" applyFont="1" applyFill="1" applyBorder="1" applyAlignment="1">
      <alignment horizontal="left" vertical="center" wrapText="1"/>
    </xf>
    <xf numFmtId="0" fontId="101" fillId="24" borderId="127" xfId="0" applyFont="1" applyFill="1" applyBorder="1" applyAlignment="1">
      <alignment horizontal="left" vertical="center" wrapText="1"/>
    </xf>
    <xf numFmtId="0" fontId="101" fillId="24" borderId="128" xfId="0" applyFont="1" applyFill="1" applyBorder="1" applyAlignment="1">
      <alignment horizontal="left" vertical="center" wrapText="1"/>
    </xf>
    <xf numFmtId="0" fontId="7" fillId="2" borderId="0" xfId="0" applyFont="1" applyFill="1" applyBorder="1" applyAlignment="1">
      <alignment horizontal="center" vertical="center" wrapText="1"/>
    </xf>
    <xf numFmtId="49" fontId="78" fillId="0" borderId="96" xfId="0" applyNumberFormat="1" applyFont="1" applyFill="1" applyBorder="1" applyAlignment="1">
      <alignment horizontal="left" vertical="center" wrapText="1"/>
    </xf>
    <xf numFmtId="6" fontId="10" fillId="5" borderId="6" xfId="0" applyNumberFormat="1" applyFont="1" applyFill="1" applyBorder="1" applyAlignment="1" applyProtection="1">
      <alignment horizontal="right" vertical="center"/>
      <protection locked="0"/>
    </xf>
    <xf numFmtId="6" fontId="10" fillId="5" borderId="7" xfId="0" applyNumberFormat="1" applyFont="1" applyFill="1" applyBorder="1" applyAlignment="1" applyProtection="1">
      <alignment horizontal="right" vertical="center"/>
      <protection locked="0"/>
    </xf>
    <xf numFmtId="6" fontId="1" fillId="0" borderId="6" xfId="0" applyNumberFormat="1" applyFont="1" applyFill="1" applyBorder="1" applyAlignment="1" applyProtection="1">
      <alignment horizontal="center" vertical="center"/>
      <protection locked="0"/>
    </xf>
    <xf numFmtId="6" fontId="1" fillId="0" borderId="7" xfId="0" applyNumberFormat="1" applyFont="1" applyFill="1" applyBorder="1" applyAlignment="1" applyProtection="1">
      <alignment horizontal="center" vertical="center"/>
      <protection locked="0"/>
    </xf>
    <xf numFmtId="6" fontId="10" fillId="5" borderId="5" xfId="0" applyNumberFormat="1" applyFont="1" applyFill="1" applyBorder="1" applyAlignment="1" applyProtection="1">
      <alignment horizontal="right" vertical="center"/>
      <protection locked="0"/>
    </xf>
    <xf numFmtId="6" fontId="1" fillId="0" borderId="5" xfId="0" applyNumberFormat="1" applyFont="1" applyFill="1" applyBorder="1" applyAlignment="1" applyProtection="1">
      <alignment horizontal="center" vertical="center"/>
      <protection locked="0"/>
    </xf>
    <xf numFmtId="0" fontId="79" fillId="2" borderId="0" xfId="0" applyFont="1" applyFill="1" applyBorder="1" applyAlignment="1">
      <alignment horizontal="center"/>
    </xf>
    <xf numFmtId="6" fontId="78" fillId="8" borderId="6" xfId="0" applyNumberFormat="1" applyFont="1" applyFill="1" applyBorder="1" applyAlignment="1" applyProtection="1">
      <alignment horizontal="center" vertical="top"/>
      <protection locked="0"/>
    </xf>
    <xf numFmtId="0" fontId="78" fillId="8" borderId="7" xfId="0" applyFont="1" applyFill="1" applyBorder="1" applyAlignment="1" applyProtection="1">
      <alignment horizontal="center" vertical="top"/>
      <protection locked="0"/>
    </xf>
    <xf numFmtId="0" fontId="78" fillId="8" borderId="5" xfId="0" applyFont="1" applyFill="1" applyBorder="1" applyAlignment="1" applyProtection="1">
      <alignment horizontal="center" vertical="top"/>
      <protection locked="0"/>
    </xf>
    <xf numFmtId="0" fontId="33" fillId="0" borderId="0" xfId="0" applyFont="1" applyBorder="1" applyAlignment="1">
      <alignment horizontal="left" vertical="center" wrapText="1"/>
    </xf>
    <xf numFmtId="0" fontId="78" fillId="2" borderId="0" xfId="0" applyFont="1" applyFill="1" applyBorder="1" applyAlignment="1">
      <alignment horizontal="left" vertical="center"/>
    </xf>
    <xf numFmtId="0" fontId="36" fillId="0" borderId="0" xfId="0" applyFont="1" applyAlignment="1">
      <alignment horizontal="left" vertical="top"/>
    </xf>
    <xf numFmtId="0" fontId="79" fillId="0" borderId="101" xfId="0" applyFont="1" applyFill="1" applyBorder="1" applyAlignment="1">
      <alignment horizontal="center"/>
    </xf>
    <xf numFmtId="0" fontId="79" fillId="0" borderId="102" xfId="0" applyFont="1" applyFill="1" applyBorder="1" applyAlignment="1">
      <alignment horizontal="center"/>
    </xf>
    <xf numFmtId="0" fontId="79" fillId="0" borderId="103" xfId="0" applyFont="1" applyFill="1" applyBorder="1" applyAlignment="1">
      <alignment horizontal="center"/>
    </xf>
    <xf numFmtId="6" fontId="10" fillId="8" borderId="104" xfId="0" applyNumberFormat="1" applyFont="1" applyFill="1" applyBorder="1" applyAlignment="1" applyProtection="1">
      <alignment horizontal="right" vertical="center"/>
      <protection locked="0"/>
    </xf>
    <xf numFmtId="6" fontId="10" fillId="8" borderId="7" xfId="0" applyNumberFormat="1" applyFont="1" applyFill="1" applyBorder="1" applyAlignment="1" applyProtection="1">
      <alignment horizontal="right" vertical="center"/>
      <protection locked="0"/>
    </xf>
    <xf numFmtId="6" fontId="10" fillId="8" borderId="105" xfId="0" applyNumberFormat="1" applyFont="1" applyFill="1" applyBorder="1" applyAlignment="1" applyProtection="1">
      <alignment horizontal="right" vertical="center"/>
      <protection locked="0"/>
    </xf>
    <xf numFmtId="6" fontId="1" fillId="0" borderId="104" xfId="0" applyNumberFormat="1" applyFont="1" applyFill="1" applyBorder="1" applyAlignment="1" applyProtection="1">
      <alignment horizontal="center" vertical="center"/>
      <protection locked="0"/>
    </xf>
    <xf numFmtId="6" fontId="1" fillId="0" borderId="105" xfId="0" applyNumberFormat="1" applyFont="1" applyFill="1" applyBorder="1" applyAlignment="1" applyProtection="1">
      <alignment horizontal="center" vertical="center"/>
      <protection locked="0"/>
    </xf>
    <xf numFmtId="6" fontId="1" fillId="8" borderId="104" xfId="0" applyNumberFormat="1" applyFont="1" applyFill="1" applyBorder="1" applyAlignment="1" applyProtection="1">
      <alignment horizontal="right" vertical="center"/>
      <protection locked="0"/>
    </xf>
    <xf numFmtId="6" fontId="1" fillId="8" borderId="105" xfId="0" applyNumberFormat="1" applyFont="1" applyFill="1" applyBorder="1" applyAlignment="1" applyProtection="1">
      <alignment horizontal="right" vertical="center"/>
      <protection locked="0"/>
    </xf>
    <xf numFmtId="0" fontId="78" fillId="0" borderId="15" xfId="0" applyFont="1" applyFill="1" applyBorder="1" applyAlignment="1">
      <alignment horizontal="center"/>
    </xf>
    <xf numFmtId="0" fontId="78" fillId="0" borderId="10" xfId="0" applyFont="1" applyBorder="1" applyAlignment="1">
      <alignment horizontal="right" vertical="center" wrapText="1"/>
    </xf>
    <xf numFmtId="0" fontId="78" fillId="0" borderId="116" xfId="0" applyFont="1" applyFill="1" applyBorder="1" applyAlignment="1">
      <alignment horizontal="center" vertical="center"/>
    </xf>
    <xf numFmtId="0" fontId="78" fillId="0" borderId="117" xfId="0" applyFont="1" applyFill="1" applyBorder="1" applyAlignment="1">
      <alignment horizontal="center" vertical="center"/>
    </xf>
    <xf numFmtId="0" fontId="78" fillId="0" borderId="118" xfId="0" applyFont="1" applyFill="1" applyBorder="1" applyAlignment="1">
      <alignment horizontal="center" vertical="center"/>
    </xf>
    <xf numFmtId="0" fontId="78" fillId="0" borderId="10" xfId="0" applyFont="1" applyFill="1" applyBorder="1" applyAlignment="1">
      <alignment horizontal="left" vertical="center"/>
    </xf>
    <xf numFmtId="0" fontId="78" fillId="0" borderId="101" xfId="0" applyFont="1" applyFill="1" applyBorder="1" applyAlignment="1">
      <alignment horizontal="center"/>
    </xf>
    <xf numFmtId="0" fontId="78" fillId="0" borderId="102" xfId="0" applyFont="1" applyFill="1" applyBorder="1" applyAlignment="1">
      <alignment horizontal="center"/>
    </xf>
    <xf numFmtId="0" fontId="78" fillId="0" borderId="103" xfId="0" applyFont="1" applyFill="1" applyBorder="1" applyAlignment="1">
      <alignment horizontal="center"/>
    </xf>
    <xf numFmtId="0" fontId="78" fillId="2" borderId="13" xfId="0" applyFont="1" applyFill="1" applyBorder="1" applyAlignment="1">
      <alignment horizontal="left" vertical="center"/>
    </xf>
    <xf numFmtId="164" fontId="1" fillId="5" borderId="120" xfId="1" applyNumberFormat="1" applyFont="1" applyFill="1" applyBorder="1" applyAlignment="1">
      <alignment horizontal="center" vertical="center" wrapText="1"/>
    </xf>
    <xf numFmtId="164" fontId="1" fillId="5" borderId="121" xfId="1" applyNumberFormat="1" applyFont="1" applyFill="1" applyBorder="1" applyAlignment="1">
      <alignment horizontal="center" vertical="center" wrapText="1"/>
    </xf>
    <xf numFmtId="164" fontId="10" fillId="26" borderId="122" xfId="1" applyNumberFormat="1" applyFont="1" applyFill="1" applyBorder="1" applyAlignment="1">
      <alignment horizontal="center" vertical="center" wrapText="1"/>
    </xf>
    <xf numFmtId="164" fontId="10" fillId="26" borderId="120" xfId="1" applyNumberFormat="1" applyFont="1" applyFill="1" applyBorder="1" applyAlignment="1">
      <alignment horizontal="center" vertical="center" wrapText="1"/>
    </xf>
    <xf numFmtId="164" fontId="10" fillId="26" borderId="123" xfId="1" applyNumberFormat="1" applyFont="1" applyFill="1" applyBorder="1" applyAlignment="1">
      <alignment horizontal="center" vertical="center" wrapText="1"/>
    </xf>
    <xf numFmtId="6" fontId="1" fillId="5" borderId="4" xfId="0" applyNumberFormat="1" applyFont="1" applyFill="1" applyBorder="1" applyAlignment="1">
      <alignment horizontal="right" vertical="center" wrapText="1"/>
    </xf>
    <xf numFmtId="6" fontId="10" fillId="5" borderId="63" xfId="0" applyNumberFormat="1" applyFont="1" applyFill="1" applyBorder="1" applyAlignment="1">
      <alignment horizontal="right" vertical="center" wrapText="1"/>
    </xf>
    <xf numFmtId="6" fontId="10" fillId="5" borderId="14" xfId="0" applyNumberFormat="1" applyFont="1" applyFill="1" applyBorder="1" applyAlignment="1">
      <alignment horizontal="right" vertical="center" wrapText="1"/>
    </xf>
    <xf numFmtId="6" fontId="1" fillId="5" borderId="6" xfId="0" applyNumberFormat="1" applyFont="1" applyFill="1" applyBorder="1" applyAlignment="1">
      <alignment horizontal="right" vertical="center" wrapText="1"/>
    </xf>
    <xf numFmtId="6" fontId="10" fillId="5" borderId="112" xfId="0" applyNumberFormat="1" applyFont="1" applyFill="1" applyBorder="1" applyAlignment="1">
      <alignment horizontal="right" vertical="center" wrapText="1"/>
    </xf>
    <xf numFmtId="6" fontId="10" fillId="5" borderId="113" xfId="0" applyNumberFormat="1" applyFont="1" applyFill="1" applyBorder="1" applyAlignment="1">
      <alignment horizontal="right" vertical="center" wrapText="1"/>
    </xf>
    <xf numFmtId="6" fontId="10" fillId="5" borderId="16" xfId="0" applyNumberFormat="1" applyFont="1" applyFill="1" applyBorder="1" applyAlignment="1">
      <alignment horizontal="right" vertical="center" wrapText="1"/>
    </xf>
    <xf numFmtId="6" fontId="1" fillId="5" borderId="106" xfId="0" applyNumberFormat="1" applyFont="1" applyFill="1" applyBorder="1" applyAlignment="1">
      <alignment horizontal="right" vertical="center" wrapText="1"/>
    </xf>
    <xf numFmtId="6" fontId="1" fillId="5" borderId="107" xfId="0" applyNumberFormat="1" applyFont="1" applyFill="1" applyBorder="1" applyAlignment="1">
      <alignment horizontal="right" vertical="center" wrapText="1"/>
    </xf>
    <xf numFmtId="6" fontId="1" fillId="5" borderId="5" xfId="0" applyNumberFormat="1" applyFont="1" applyFill="1" applyBorder="1" applyAlignment="1">
      <alignment horizontal="right" vertical="center" wrapText="1"/>
    </xf>
    <xf numFmtId="10" fontId="1" fillId="5" borderId="4" xfId="1" applyNumberFormat="1" applyFont="1" applyFill="1" applyBorder="1" applyAlignment="1">
      <alignment horizontal="right" vertical="center" wrapText="1"/>
    </xf>
    <xf numFmtId="10" fontId="1" fillId="5" borderId="6" xfId="1" applyNumberFormat="1" applyFont="1" applyFill="1" applyBorder="1" applyAlignment="1">
      <alignment horizontal="right" vertical="center" wrapText="1"/>
    </xf>
    <xf numFmtId="6" fontId="1" fillId="5" borderId="7" xfId="0" applyNumberFormat="1" applyFont="1" applyFill="1" applyBorder="1" applyAlignment="1">
      <alignment horizontal="right" vertical="center" wrapText="1"/>
    </xf>
    <xf numFmtId="6" fontId="1" fillId="5" borderId="104" xfId="0" applyNumberFormat="1" applyFont="1" applyFill="1" applyBorder="1" applyAlignment="1">
      <alignment horizontal="right" vertical="center" wrapText="1"/>
    </xf>
    <xf numFmtId="6" fontId="1" fillId="5" borderId="105" xfId="0" applyNumberFormat="1" applyFont="1" applyFill="1" applyBorder="1" applyAlignment="1">
      <alignment horizontal="right" vertical="center" wrapText="1"/>
    </xf>
    <xf numFmtId="0" fontId="78" fillId="0" borderId="10" xfId="0" applyFont="1" applyBorder="1" applyAlignment="1">
      <alignment horizontal="center" vertical="center"/>
    </xf>
    <xf numFmtId="10" fontId="1" fillId="5" borderId="106" xfId="1" applyNumberFormat="1" applyFont="1" applyFill="1" applyBorder="1" applyAlignment="1">
      <alignment horizontal="right" vertical="center" wrapText="1"/>
    </xf>
    <xf numFmtId="10" fontId="1" fillId="5" borderId="107" xfId="1" applyNumberFormat="1" applyFont="1" applyFill="1" applyBorder="1" applyAlignment="1">
      <alignment horizontal="right" vertical="center" wrapText="1"/>
    </xf>
    <xf numFmtId="0" fontId="79" fillId="2" borderId="0" xfId="0" applyFont="1" applyFill="1" applyBorder="1" applyAlignment="1">
      <alignment horizontal="left" vertical="center"/>
    </xf>
    <xf numFmtId="10" fontId="1" fillId="5" borderId="7" xfId="1" applyNumberFormat="1" applyFont="1" applyFill="1" applyBorder="1" applyAlignment="1">
      <alignment horizontal="right" vertical="center" wrapText="1"/>
    </xf>
    <xf numFmtId="10" fontId="1" fillId="5" borderId="104" xfId="1" applyNumberFormat="1" applyFont="1" applyFill="1" applyBorder="1" applyAlignment="1">
      <alignment horizontal="right" vertical="center" wrapText="1"/>
    </xf>
    <xf numFmtId="10" fontId="1" fillId="5" borderId="105" xfId="1" applyNumberFormat="1" applyFont="1" applyFill="1" applyBorder="1" applyAlignment="1">
      <alignment horizontal="right" vertical="center" wrapText="1"/>
    </xf>
    <xf numFmtId="10" fontId="1" fillId="5" borderId="5" xfId="1" applyNumberFormat="1" applyFont="1" applyFill="1" applyBorder="1" applyAlignment="1">
      <alignment horizontal="right" vertical="center" wrapText="1"/>
    </xf>
    <xf numFmtId="164" fontId="1" fillId="5" borderId="124" xfId="1" applyNumberFormat="1" applyFont="1" applyFill="1" applyBorder="1" applyAlignment="1">
      <alignment horizontal="center" vertical="center" wrapText="1"/>
    </xf>
    <xf numFmtId="6" fontId="10" fillId="5" borderId="4" xfId="0" applyNumberFormat="1" applyFont="1" applyFill="1" applyBorder="1" applyAlignment="1">
      <alignment horizontal="right" vertical="center" wrapText="1"/>
    </xf>
    <xf numFmtId="6" fontId="10" fillId="5" borderId="6" xfId="0" applyNumberFormat="1" applyFont="1" applyFill="1" applyBorder="1" applyAlignment="1">
      <alignment horizontal="right" vertical="center" wrapText="1"/>
    </xf>
    <xf numFmtId="6" fontId="10" fillId="5" borderId="106" xfId="0" applyNumberFormat="1" applyFont="1" applyFill="1" applyBorder="1" applyAlignment="1">
      <alignment horizontal="right" vertical="center" wrapText="1"/>
    </xf>
    <xf numFmtId="6" fontId="10" fillId="5" borderId="107" xfId="0" applyNumberFormat="1" applyFont="1" applyFill="1" applyBorder="1" applyAlignment="1">
      <alignment horizontal="right" vertical="center" wrapText="1"/>
    </xf>
    <xf numFmtId="6" fontId="10" fillId="5" borderId="5" xfId="0" applyNumberFormat="1" applyFont="1" applyFill="1" applyBorder="1" applyAlignment="1">
      <alignment horizontal="right" vertical="center" wrapText="1"/>
    </xf>
    <xf numFmtId="6" fontId="1" fillId="8" borderId="6" xfId="0" applyNumberFormat="1" applyFont="1" applyFill="1" applyBorder="1" applyAlignment="1" applyProtection="1">
      <alignment horizontal="center" vertical="center"/>
      <protection locked="0"/>
    </xf>
    <xf numFmtId="6" fontId="1" fillId="8" borderId="7" xfId="0" applyNumberFormat="1" applyFont="1" applyFill="1" applyBorder="1" applyAlignment="1" applyProtection="1">
      <alignment horizontal="center" vertical="center"/>
      <protection locked="0"/>
    </xf>
    <xf numFmtId="6" fontId="1" fillId="8" borderId="5" xfId="0" applyNumberFormat="1" applyFont="1" applyFill="1" applyBorder="1" applyAlignment="1" applyProtection="1">
      <alignment horizontal="center" vertical="center"/>
      <protection locked="0"/>
    </xf>
    <xf numFmtId="0" fontId="78" fillId="2" borderId="0" xfId="0" applyFont="1" applyFill="1" applyBorder="1" applyAlignment="1">
      <alignment vertical="center"/>
    </xf>
    <xf numFmtId="6" fontId="10" fillId="5" borderId="6" xfId="0" applyNumberFormat="1" applyFont="1" applyFill="1" applyBorder="1" applyAlignment="1" applyProtection="1">
      <alignment vertical="center"/>
      <protection locked="0"/>
    </xf>
    <xf numFmtId="6" fontId="10" fillId="5" borderId="106" xfId="0" applyNumberFormat="1" applyFont="1" applyFill="1" applyBorder="1" applyAlignment="1" applyProtection="1">
      <alignment vertical="center"/>
      <protection locked="0"/>
    </xf>
    <xf numFmtId="6" fontId="10" fillId="5" borderId="107" xfId="0" applyNumberFormat="1" applyFont="1" applyFill="1" applyBorder="1" applyAlignment="1" applyProtection="1">
      <alignment vertical="center"/>
      <protection locked="0"/>
    </xf>
    <xf numFmtId="6" fontId="10" fillId="5" borderId="5" xfId="0" applyNumberFormat="1" applyFont="1" applyFill="1" applyBorder="1" applyAlignment="1" applyProtection="1">
      <alignment vertical="center"/>
      <protection locked="0"/>
    </xf>
    <xf numFmtId="0" fontId="78" fillId="0" borderId="0" xfId="0" applyFont="1" applyBorder="1" applyAlignment="1">
      <alignment horizontal="left" vertical="center" wrapText="1"/>
    </xf>
    <xf numFmtId="0" fontId="78" fillId="0" borderId="13" xfId="0" applyFont="1" applyBorder="1" applyAlignment="1">
      <alignment horizontal="left" vertical="center" wrapText="1"/>
    </xf>
    <xf numFmtId="0" fontId="79" fillId="0" borderId="0" xfId="0" applyFont="1" applyBorder="1" applyAlignment="1">
      <alignment horizontal="left" vertical="center" wrapText="1"/>
    </xf>
    <xf numFmtId="0" fontId="133" fillId="0" borderId="99" xfId="0" applyFont="1" applyBorder="1" applyAlignment="1">
      <alignment horizontal="left" vertical="center"/>
    </xf>
    <xf numFmtId="6" fontId="1" fillId="5" borderId="69" xfId="0" applyNumberFormat="1" applyFont="1" applyFill="1" applyBorder="1" applyAlignment="1">
      <alignment horizontal="right" vertical="center" wrapText="1"/>
    </xf>
    <xf numFmtId="6" fontId="1" fillId="5" borderId="70" xfId="0" applyNumberFormat="1" applyFont="1" applyFill="1" applyBorder="1" applyAlignment="1">
      <alignment horizontal="right" vertical="center" wrapText="1"/>
    </xf>
    <xf numFmtId="0" fontId="78" fillId="0" borderId="77" xfId="0" applyFont="1" applyFill="1" applyBorder="1" applyAlignment="1">
      <alignment horizontal="center" vertical="center"/>
    </xf>
    <xf numFmtId="0" fontId="78" fillId="0" borderId="78" xfId="0" applyFont="1" applyFill="1" applyBorder="1" applyAlignment="1">
      <alignment horizontal="center" vertical="center"/>
    </xf>
    <xf numFmtId="0" fontId="78" fillId="0" borderId="79" xfId="0" applyFont="1" applyFill="1" applyBorder="1" applyAlignment="1">
      <alignment horizontal="center" vertical="center"/>
    </xf>
    <xf numFmtId="10" fontId="1" fillId="5" borderId="69" xfId="1" applyNumberFormat="1" applyFont="1" applyFill="1" applyBorder="1" applyAlignment="1">
      <alignment horizontal="right" vertical="center" wrapText="1"/>
    </xf>
    <xf numFmtId="10" fontId="1" fillId="5" borderId="70" xfId="1" applyNumberFormat="1" applyFont="1" applyFill="1" applyBorder="1" applyAlignment="1">
      <alignment horizontal="right" vertical="center" wrapText="1"/>
    </xf>
    <xf numFmtId="6" fontId="1" fillId="5" borderId="71" xfId="0" applyNumberFormat="1" applyFont="1" applyFill="1" applyBorder="1" applyAlignment="1">
      <alignment horizontal="right" vertical="center" wrapText="1"/>
    </xf>
    <xf numFmtId="6" fontId="1" fillId="5" borderId="72" xfId="0" applyNumberFormat="1" applyFont="1" applyFill="1" applyBorder="1" applyAlignment="1">
      <alignment horizontal="right" vertical="center" wrapText="1"/>
    </xf>
    <xf numFmtId="0" fontId="80" fillId="0" borderId="0" xfId="0" applyFont="1" applyBorder="1" applyAlignment="1">
      <alignment horizontal="left" vertical="center" wrapText="1"/>
    </xf>
    <xf numFmtId="6" fontId="1" fillId="8" borderId="69" xfId="0" applyNumberFormat="1" applyFont="1" applyFill="1" applyBorder="1" applyAlignment="1" applyProtection="1">
      <alignment horizontal="right" vertical="center"/>
      <protection locked="0"/>
    </xf>
    <xf numFmtId="6" fontId="1" fillId="8" borderId="70" xfId="0" applyNumberFormat="1" applyFont="1" applyFill="1" applyBorder="1" applyAlignment="1" applyProtection="1">
      <alignment horizontal="right" vertical="center"/>
      <protection locked="0"/>
    </xf>
    <xf numFmtId="0" fontId="78" fillId="0" borderId="66" xfId="0" applyFont="1" applyFill="1" applyBorder="1" applyAlignment="1">
      <alignment horizontal="center"/>
    </xf>
    <xf numFmtId="0" fontId="78" fillId="0" borderId="67" xfId="0" applyFont="1" applyFill="1" applyBorder="1" applyAlignment="1">
      <alignment horizontal="center"/>
    </xf>
    <xf numFmtId="0" fontId="78" fillId="0" borderId="68" xfId="0" applyFont="1" applyFill="1" applyBorder="1" applyAlignment="1">
      <alignment horizontal="center"/>
    </xf>
    <xf numFmtId="6" fontId="10" fillId="5" borderId="71" xfId="0" applyNumberFormat="1" applyFont="1" applyFill="1" applyBorder="1" applyAlignment="1">
      <alignment horizontal="right" vertical="center" wrapText="1"/>
    </xf>
    <xf numFmtId="6" fontId="10" fillId="5" borderId="72" xfId="0" applyNumberFormat="1" applyFont="1" applyFill="1" applyBorder="1" applyAlignment="1">
      <alignment horizontal="right" vertical="center" wrapText="1"/>
    </xf>
    <xf numFmtId="0" fontId="79" fillId="0" borderId="66" xfId="0" applyFont="1" applyFill="1" applyBorder="1" applyAlignment="1">
      <alignment horizontal="center"/>
    </xf>
    <xf numFmtId="0" fontId="79" fillId="0" borderId="67" xfId="0" applyFont="1" applyFill="1" applyBorder="1" applyAlignment="1">
      <alignment horizontal="center"/>
    </xf>
    <xf numFmtId="0" fontId="79" fillId="0" borderId="68" xfId="0" applyFont="1" applyFill="1" applyBorder="1" applyAlignment="1">
      <alignment horizontal="center"/>
    </xf>
    <xf numFmtId="6" fontId="10" fillId="8" borderId="69" xfId="0" applyNumberFormat="1" applyFont="1" applyFill="1" applyBorder="1" applyAlignment="1" applyProtection="1">
      <alignment horizontal="right" vertical="center"/>
      <protection locked="0"/>
    </xf>
    <xf numFmtId="6" fontId="10" fillId="8" borderId="70" xfId="0" applyNumberFormat="1" applyFont="1" applyFill="1" applyBorder="1" applyAlignment="1" applyProtection="1">
      <alignment horizontal="right" vertical="center"/>
      <protection locked="0"/>
    </xf>
    <xf numFmtId="6" fontId="1" fillId="0" borderId="69" xfId="0" applyNumberFormat="1" applyFont="1" applyFill="1" applyBorder="1" applyAlignment="1" applyProtection="1">
      <alignment horizontal="center" vertical="center"/>
      <protection locked="0"/>
    </xf>
    <xf numFmtId="6" fontId="1" fillId="0" borderId="70" xfId="0" applyNumberFormat="1" applyFont="1" applyFill="1" applyBorder="1" applyAlignment="1" applyProtection="1">
      <alignment horizontal="center" vertical="center"/>
      <protection locked="0"/>
    </xf>
    <xf numFmtId="6" fontId="10" fillId="5" borderId="71" xfId="0" applyNumberFormat="1" applyFont="1" applyFill="1" applyBorder="1" applyAlignment="1" applyProtection="1">
      <alignment vertical="center"/>
      <protection locked="0"/>
    </xf>
    <xf numFmtId="6" fontId="10" fillId="5" borderId="72" xfId="0" applyNumberFormat="1" applyFont="1" applyFill="1" applyBorder="1" applyAlignment="1" applyProtection="1">
      <alignment vertical="center"/>
      <protection locked="0"/>
    </xf>
    <xf numFmtId="164" fontId="1" fillId="5" borderId="63" xfId="1" applyNumberFormat="1" applyFont="1" applyFill="1" applyBorder="1" applyAlignment="1">
      <alignment horizontal="center" vertical="center" wrapText="1"/>
    </xf>
    <xf numFmtId="164" fontId="1" fillId="5" borderId="14" xfId="1" applyNumberFormat="1" applyFont="1" applyFill="1" applyBorder="1" applyAlignment="1">
      <alignment horizontal="center" vertical="center" wrapText="1"/>
    </xf>
    <xf numFmtId="164" fontId="1" fillId="5" borderId="75" xfId="1" applyNumberFormat="1" applyFont="1" applyFill="1" applyBorder="1" applyAlignment="1">
      <alignment horizontal="center" vertical="center" wrapText="1"/>
    </xf>
    <xf numFmtId="164" fontId="1" fillId="5" borderId="76" xfId="1" applyNumberFormat="1" applyFont="1" applyFill="1" applyBorder="1" applyAlignment="1">
      <alignment horizontal="center" vertical="center" wrapText="1"/>
    </xf>
    <xf numFmtId="164" fontId="1" fillId="5" borderId="16" xfId="1" applyNumberFormat="1" applyFont="1" applyFill="1" applyBorder="1" applyAlignment="1">
      <alignment horizontal="center" vertical="center" wrapText="1"/>
    </xf>
    <xf numFmtId="6" fontId="1" fillId="5" borderId="81" xfId="0" applyNumberFormat="1" applyFont="1" applyFill="1" applyBorder="1" applyAlignment="1">
      <alignment horizontal="right" vertical="center" wrapText="1"/>
    </xf>
    <xf numFmtId="6" fontId="1" fillId="5" borderId="82" xfId="0" applyNumberFormat="1" applyFont="1" applyFill="1" applyBorder="1" applyAlignment="1">
      <alignment horizontal="right" vertical="center" wrapText="1"/>
    </xf>
    <xf numFmtId="6" fontId="10" fillId="17" borderId="83" xfId="0" applyNumberFormat="1" applyFont="1" applyFill="1" applyBorder="1" applyAlignment="1">
      <alignment horizontal="right" vertical="center" wrapText="1"/>
    </xf>
    <xf numFmtId="6" fontId="10" fillId="17" borderId="81" xfId="0" applyNumberFormat="1" applyFont="1" applyFill="1" applyBorder="1" applyAlignment="1">
      <alignment horizontal="right" vertical="center" wrapText="1"/>
    </xf>
    <xf numFmtId="6" fontId="10" fillId="17" borderId="84" xfId="0" applyNumberFormat="1" applyFont="1" applyFill="1" applyBorder="1" applyAlignment="1">
      <alignment horizontal="right" vertical="center" wrapText="1"/>
    </xf>
    <xf numFmtId="6" fontId="1" fillId="5" borderId="85" xfId="0" applyNumberFormat="1" applyFont="1" applyFill="1" applyBorder="1" applyAlignment="1">
      <alignment horizontal="right" vertical="center" wrapText="1"/>
    </xf>
    <xf numFmtId="6" fontId="10" fillId="5" borderId="75" xfId="0" applyNumberFormat="1" applyFont="1" applyFill="1" applyBorder="1" applyAlignment="1">
      <alignment horizontal="right" vertical="center" wrapText="1"/>
    </xf>
    <xf numFmtId="6" fontId="10" fillId="5" borderId="76" xfId="0" applyNumberFormat="1" applyFont="1" applyFill="1" applyBorder="1" applyAlignment="1">
      <alignment horizontal="right" vertical="center" wrapText="1"/>
    </xf>
    <xf numFmtId="10" fontId="1" fillId="5" borderId="71" xfId="1" applyNumberFormat="1" applyFont="1" applyFill="1" applyBorder="1" applyAlignment="1">
      <alignment horizontal="right" vertical="center" wrapText="1"/>
    </xf>
    <xf numFmtId="10" fontId="1" fillId="5" borderId="72" xfId="1" applyNumberFormat="1" applyFont="1" applyFill="1" applyBorder="1" applyAlignment="1">
      <alignment horizontal="right" vertical="center" wrapText="1"/>
    </xf>
    <xf numFmtId="0" fontId="2" fillId="0" borderId="0" xfId="0" applyFont="1" applyBorder="1" applyAlignment="1">
      <alignment horizontal="left" vertical="center" wrapText="1"/>
    </xf>
    <xf numFmtId="0" fontId="1" fillId="0" borderId="10" xfId="0" applyFont="1" applyBorder="1" applyAlignment="1">
      <alignment horizontal="center" vertical="center"/>
    </xf>
    <xf numFmtId="6" fontId="10" fillId="5" borderId="124" xfId="0" applyNumberFormat="1" applyFont="1" applyFill="1" applyBorder="1" applyAlignment="1">
      <alignment horizontal="right" vertical="center" wrapText="1"/>
    </xf>
    <xf numFmtId="6" fontId="10" fillId="5" borderId="120" xfId="0" applyNumberFormat="1" applyFont="1" applyFill="1" applyBorder="1" applyAlignment="1">
      <alignment horizontal="right" vertical="center" wrapText="1"/>
    </xf>
    <xf numFmtId="164" fontId="1" fillId="5" borderId="112" xfId="1" applyNumberFormat="1" applyFont="1" applyFill="1" applyBorder="1" applyAlignment="1">
      <alignment horizontal="center" vertical="center" wrapText="1"/>
    </xf>
    <xf numFmtId="164" fontId="1" fillId="5" borderId="113" xfId="1" applyNumberFormat="1" applyFont="1" applyFill="1" applyBorder="1" applyAlignment="1">
      <alignment horizontal="center" vertical="center" wrapText="1"/>
    </xf>
    <xf numFmtId="6" fontId="10" fillId="5" borderId="121" xfId="0" applyNumberFormat="1" applyFont="1" applyFill="1" applyBorder="1" applyAlignment="1">
      <alignment horizontal="right" vertical="center" wrapText="1"/>
    </xf>
    <xf numFmtId="6" fontId="10" fillId="26" borderId="122" xfId="0" applyNumberFormat="1" applyFont="1" applyFill="1" applyBorder="1" applyAlignment="1">
      <alignment horizontal="right" vertical="center" wrapText="1"/>
    </xf>
    <xf numFmtId="6" fontId="10" fillId="26" borderId="120" xfId="0" applyNumberFormat="1" applyFont="1" applyFill="1" applyBorder="1" applyAlignment="1">
      <alignment horizontal="right" vertical="center" wrapText="1"/>
    </xf>
    <xf numFmtId="6" fontId="10" fillId="26" borderId="123" xfId="0" applyNumberFormat="1" applyFont="1" applyFill="1" applyBorder="1" applyAlignment="1">
      <alignment horizontal="right" vertical="center" wrapText="1"/>
    </xf>
    <xf numFmtId="6" fontId="1" fillId="5" borderId="62" xfId="0" applyNumberFormat="1" applyFont="1" applyFill="1" applyBorder="1" applyAlignment="1">
      <alignment horizontal="right" vertical="center" wrapText="1"/>
    </xf>
    <xf numFmtId="6" fontId="1" fillId="5" borderId="9" xfId="0" applyNumberFormat="1" applyFont="1" applyFill="1" applyBorder="1" applyAlignment="1">
      <alignment horizontal="right" vertical="center" wrapText="1"/>
    </xf>
    <xf numFmtId="6" fontId="1" fillId="5" borderId="110" xfId="0" applyNumberFormat="1" applyFont="1" applyFill="1" applyBorder="1" applyAlignment="1">
      <alignment horizontal="right" vertical="center" wrapText="1"/>
    </xf>
    <xf numFmtId="6" fontId="1" fillId="5" borderId="111" xfId="0" applyNumberFormat="1" applyFont="1" applyFill="1" applyBorder="1" applyAlignment="1">
      <alignment horizontal="right" vertical="center" wrapText="1"/>
    </xf>
    <xf numFmtId="6" fontId="1" fillId="5" borderId="11" xfId="0" applyNumberFormat="1" applyFont="1" applyFill="1" applyBorder="1" applyAlignment="1">
      <alignment horizontal="right" vertical="center" wrapText="1"/>
    </xf>
    <xf numFmtId="0" fontId="2" fillId="2" borderId="0" xfId="0" applyFont="1" applyFill="1" applyBorder="1" applyAlignment="1">
      <alignment horizontal="left" vertical="center"/>
    </xf>
    <xf numFmtId="6" fontId="1" fillId="8" borderId="14" xfId="0" applyNumberFormat="1" applyFont="1" applyFill="1" applyBorder="1" applyAlignment="1" applyProtection="1">
      <alignment horizontal="center" vertical="center"/>
      <protection locked="0"/>
    </xf>
    <xf numFmtId="6" fontId="1" fillId="8" borderId="15" xfId="0" applyNumberFormat="1" applyFont="1" applyFill="1" applyBorder="1" applyAlignment="1" applyProtection="1">
      <alignment horizontal="center" vertical="center"/>
      <protection locked="0"/>
    </xf>
    <xf numFmtId="6" fontId="1" fillId="8" borderId="16" xfId="0" applyNumberFormat="1" applyFont="1" applyFill="1" applyBorder="1" applyAlignment="1" applyProtection="1">
      <alignment horizontal="center" vertical="center"/>
      <protection locked="0"/>
    </xf>
    <xf numFmtId="6" fontId="1" fillId="0" borderId="114" xfId="0" applyNumberFormat="1" applyFont="1" applyFill="1" applyBorder="1" applyAlignment="1" applyProtection="1">
      <alignment horizontal="center" vertical="center"/>
      <protection locked="0"/>
    </xf>
    <xf numFmtId="6" fontId="1" fillId="0" borderId="15" xfId="0" applyNumberFormat="1" applyFont="1" applyFill="1" applyBorder="1" applyAlignment="1" applyProtection="1">
      <alignment horizontal="center" vertical="center"/>
      <protection locked="0"/>
    </xf>
    <xf numFmtId="6" fontId="1" fillId="0" borderId="115" xfId="0" applyNumberFormat="1" applyFont="1" applyFill="1" applyBorder="1" applyAlignment="1" applyProtection="1">
      <alignment horizontal="center" vertical="center"/>
      <protection locked="0"/>
    </xf>
    <xf numFmtId="6" fontId="10" fillId="25" borderId="122" xfId="0" applyNumberFormat="1" applyFont="1" applyFill="1" applyBorder="1" applyAlignment="1">
      <alignment horizontal="right" vertical="center" wrapText="1"/>
    </xf>
    <xf numFmtId="6" fontId="10" fillId="25" borderId="120" xfId="0" applyNumberFormat="1" applyFont="1" applyFill="1" applyBorder="1" applyAlignment="1">
      <alignment horizontal="right" vertical="center" wrapText="1"/>
    </xf>
    <xf numFmtId="6" fontId="10" fillId="25" borderId="123" xfId="0" applyNumberFormat="1" applyFont="1" applyFill="1" applyBorder="1" applyAlignment="1">
      <alignment horizontal="right" vertical="center" wrapText="1"/>
    </xf>
    <xf numFmtId="6" fontId="78" fillId="8" borderId="9" xfId="0" applyNumberFormat="1" applyFont="1" applyFill="1" applyBorder="1" applyAlignment="1" applyProtection="1">
      <alignment horizontal="center" vertical="top"/>
      <protection locked="0"/>
    </xf>
    <xf numFmtId="0" fontId="78" fillId="8" borderId="10" xfId="0" applyFont="1" applyFill="1" applyBorder="1" applyAlignment="1" applyProtection="1">
      <alignment horizontal="center" vertical="top"/>
      <protection locked="0"/>
    </xf>
    <xf numFmtId="0" fontId="78" fillId="8" borderId="11" xfId="0" applyFont="1" applyFill="1" applyBorder="1" applyAlignment="1" applyProtection="1">
      <alignment horizontal="center" vertical="top"/>
      <protection locked="0"/>
    </xf>
    <xf numFmtId="0" fontId="78" fillId="0" borderId="0" xfId="0" applyFont="1" applyAlignment="1">
      <alignment horizontal="center" vertical="center"/>
    </xf>
    <xf numFmtId="0" fontId="78" fillId="0" borderId="0" xfId="0" applyFont="1" applyBorder="1" applyAlignment="1">
      <alignment horizontal="center" vertical="center"/>
    </xf>
    <xf numFmtId="0" fontId="5" fillId="5" borderId="6" xfId="0" applyFont="1" applyFill="1" applyBorder="1" applyAlignment="1">
      <alignment horizontal="left"/>
    </xf>
    <xf numFmtId="0" fontId="5" fillId="5" borderId="5" xfId="0" applyFont="1" applyFill="1" applyBorder="1" applyAlignment="1">
      <alignment horizontal="left"/>
    </xf>
    <xf numFmtId="0" fontId="5" fillId="5" borderId="50" xfId="0" applyFont="1" applyFill="1" applyBorder="1" applyAlignment="1">
      <alignment horizontal="left"/>
    </xf>
    <xf numFmtId="0" fontId="5" fillId="5" borderId="48" xfId="0" applyFont="1" applyFill="1" applyBorder="1" applyAlignment="1">
      <alignment horizontal="left"/>
    </xf>
    <xf numFmtId="0" fontId="5" fillId="5" borderId="49" xfId="0" applyFont="1" applyFill="1" applyBorder="1" applyAlignment="1">
      <alignment horizontal="left"/>
    </xf>
    <xf numFmtId="0" fontId="5" fillId="5" borderId="7" xfId="0" applyFont="1" applyFill="1" applyBorder="1" applyAlignment="1">
      <alignment horizontal="left"/>
    </xf>
    <xf numFmtId="0" fontId="5" fillId="5" borderId="12" xfId="0" applyFont="1" applyFill="1" applyBorder="1" applyAlignment="1">
      <alignment horizontal="left"/>
    </xf>
    <xf numFmtId="0" fontId="5" fillId="5" borderId="0" xfId="0" applyFont="1" applyFill="1" applyBorder="1" applyAlignment="1">
      <alignment horizontal="left"/>
    </xf>
    <xf numFmtId="0" fontId="14" fillId="0" borderId="0" xfId="0" applyFont="1" applyBorder="1" applyAlignment="1">
      <alignment horizontal="left" vertical="center"/>
    </xf>
    <xf numFmtId="167" fontId="22" fillId="5" borderId="6" xfId="0" applyNumberFormat="1" applyFont="1" applyFill="1" applyBorder="1" applyAlignment="1" applyProtection="1">
      <alignment horizontal="center" vertical="center"/>
    </xf>
    <xf numFmtId="167" fontId="22" fillId="5" borderId="7" xfId="0" applyNumberFormat="1" applyFont="1" applyFill="1" applyBorder="1" applyAlignment="1" applyProtection="1">
      <alignment horizontal="center" vertical="center"/>
    </xf>
    <xf numFmtId="167" fontId="22" fillId="5" borderId="5" xfId="0" applyNumberFormat="1" applyFont="1" applyFill="1" applyBorder="1" applyAlignment="1" applyProtection="1">
      <alignment horizontal="center" vertical="center"/>
    </xf>
    <xf numFmtId="0" fontId="90" fillId="22" borderId="87" xfId="0" applyFont="1" applyFill="1" applyBorder="1" applyAlignment="1">
      <alignment horizontal="left" vertical="top" wrapText="1"/>
    </xf>
    <xf numFmtId="0" fontId="90" fillId="22" borderId="88" xfId="0" applyFont="1" applyFill="1" applyBorder="1" applyAlignment="1">
      <alignment horizontal="left" vertical="top" wrapText="1"/>
    </xf>
    <xf numFmtId="0" fontId="139" fillId="0" borderId="15" xfId="0" applyFont="1" applyBorder="1" applyAlignment="1">
      <alignment horizontal="center" vertical="center"/>
    </xf>
    <xf numFmtId="0" fontId="82" fillId="0" borderId="0" xfId="0" applyFont="1" applyFill="1" applyBorder="1" applyAlignment="1">
      <alignment horizontal="center" vertical="top"/>
    </xf>
    <xf numFmtId="0" fontId="89" fillId="18" borderId="92" xfId="0" applyFont="1" applyFill="1" applyBorder="1" applyAlignment="1">
      <alignment horizontal="center" vertical="top" wrapText="1"/>
    </xf>
    <xf numFmtId="0" fontId="89" fillId="18" borderId="89" xfId="0" applyFont="1" applyFill="1" applyBorder="1" applyAlignment="1">
      <alignment horizontal="center" vertical="top" wrapText="1"/>
    </xf>
    <xf numFmtId="0" fontId="0" fillId="0" borderId="7" xfId="0" applyBorder="1" applyAlignment="1">
      <alignment horizontal="center" vertical="center"/>
    </xf>
    <xf numFmtId="167" fontId="10" fillId="8" borderId="6" xfId="0" applyNumberFormat="1" applyFont="1" applyFill="1" applyBorder="1" applyAlignment="1" applyProtection="1">
      <alignment horizontal="center" vertical="center"/>
      <protection locked="0"/>
    </xf>
    <xf numFmtId="167" fontId="10" fillId="8" borderId="7" xfId="0" applyNumberFormat="1" applyFont="1" applyFill="1" applyBorder="1" applyAlignment="1" applyProtection="1">
      <alignment horizontal="center" vertical="center"/>
      <protection locked="0"/>
    </xf>
    <xf numFmtId="167" fontId="10" fillId="8" borderId="5" xfId="0" applyNumberFormat="1" applyFont="1" applyFill="1" applyBorder="1" applyAlignment="1" applyProtection="1">
      <alignment horizontal="center" vertical="center"/>
      <protection locked="0"/>
    </xf>
    <xf numFmtId="0" fontId="1" fillId="8" borderId="7" xfId="0" applyFont="1" applyFill="1" applyBorder="1" applyAlignment="1" applyProtection="1">
      <alignment horizontal="left" vertical="center"/>
    </xf>
    <xf numFmtId="0" fontId="1" fillId="8" borderId="5" xfId="0" applyFont="1" applyFill="1" applyBorder="1" applyAlignment="1" applyProtection="1">
      <alignment horizontal="left" vertical="center"/>
    </xf>
    <xf numFmtId="10" fontId="63" fillId="0" borderId="0" xfId="1" applyNumberFormat="1" applyFont="1" applyBorder="1" applyAlignment="1">
      <alignment horizontal="center" vertical="center"/>
    </xf>
    <xf numFmtId="0" fontId="63" fillId="0" borderId="0" xfId="0" applyFont="1" applyBorder="1" applyAlignment="1">
      <alignment horizontal="center" vertical="center"/>
    </xf>
    <xf numFmtId="167" fontId="10" fillId="5" borderId="6" xfId="0" applyNumberFormat="1" applyFont="1" applyFill="1" applyBorder="1" applyAlignment="1" applyProtection="1">
      <alignment horizontal="center" vertical="center"/>
      <protection locked="0"/>
    </xf>
    <xf numFmtId="167" fontId="10" fillId="5" borderId="7" xfId="0" applyNumberFormat="1" applyFont="1" applyFill="1" applyBorder="1" applyAlignment="1" applyProtection="1">
      <alignment horizontal="center" vertical="center"/>
      <protection locked="0"/>
    </xf>
    <xf numFmtId="167" fontId="10" fillId="5" borderId="5" xfId="0" applyNumberFormat="1" applyFont="1" applyFill="1" applyBorder="1" applyAlignment="1" applyProtection="1">
      <alignment horizontal="center" vertical="center"/>
      <protection locked="0"/>
    </xf>
    <xf numFmtId="168" fontId="69" fillId="5" borderId="7" xfId="0" applyNumberFormat="1" applyFont="1" applyFill="1" applyBorder="1" applyAlignment="1" applyProtection="1">
      <alignment horizontal="left" vertical="center"/>
    </xf>
    <xf numFmtId="168" fontId="69" fillId="5" borderId="5" xfId="0" applyNumberFormat="1" applyFont="1" applyFill="1" applyBorder="1" applyAlignment="1" applyProtection="1">
      <alignment horizontal="left" vertical="center"/>
    </xf>
    <xf numFmtId="167" fontId="1" fillId="5" borderId="6" xfId="0" applyNumberFormat="1" applyFont="1" applyFill="1" applyBorder="1" applyAlignment="1" applyProtection="1">
      <alignment vertical="center"/>
    </xf>
    <xf numFmtId="167" fontId="1" fillId="5" borderId="7" xfId="0" applyNumberFormat="1" applyFont="1" applyFill="1" applyBorder="1" applyAlignment="1" applyProtection="1">
      <alignment vertical="center"/>
    </xf>
    <xf numFmtId="0" fontId="28" fillId="0" borderId="12" xfId="0" applyFont="1" applyBorder="1" applyAlignment="1" applyProtection="1">
      <alignment horizontal="center" vertical="center"/>
      <protection hidden="1"/>
    </xf>
    <xf numFmtId="0" fontId="28" fillId="0" borderId="0" xfId="0" applyFont="1" applyBorder="1" applyAlignment="1" applyProtection="1">
      <alignment horizontal="center" vertical="center"/>
      <protection hidden="1"/>
    </xf>
    <xf numFmtId="0" fontId="28" fillId="0" borderId="13" xfId="0" applyFont="1" applyBorder="1" applyAlignment="1" applyProtection="1">
      <alignment horizontal="center" vertical="center"/>
      <protection hidden="1"/>
    </xf>
    <xf numFmtId="0" fontId="1" fillId="8" borderId="6" xfId="0" applyFont="1" applyFill="1" applyBorder="1" applyAlignment="1" applyProtection="1">
      <alignment horizontal="right" vertical="center"/>
      <protection locked="0"/>
    </xf>
    <xf numFmtId="0" fontId="1" fillId="8" borderId="7" xfId="0" applyFont="1" applyFill="1" applyBorder="1" applyAlignment="1" applyProtection="1">
      <alignment horizontal="right" vertical="center"/>
      <protection locked="0"/>
    </xf>
    <xf numFmtId="10" fontId="1" fillId="5" borderId="6" xfId="1" applyNumberFormat="1" applyFont="1" applyFill="1" applyBorder="1" applyAlignment="1" applyProtection="1">
      <alignment horizontal="center" vertical="center"/>
      <protection locked="0"/>
    </xf>
    <xf numFmtId="10" fontId="1" fillId="5" borderId="7" xfId="1" applyNumberFormat="1" applyFont="1" applyFill="1" applyBorder="1" applyAlignment="1" applyProtection="1">
      <alignment horizontal="center" vertical="center"/>
      <protection locked="0"/>
    </xf>
    <xf numFmtId="167" fontId="45" fillId="5" borderId="6" xfId="0" applyNumberFormat="1" applyFont="1" applyFill="1" applyBorder="1" applyAlignment="1" applyProtection="1">
      <alignment horizontal="center" vertical="center"/>
    </xf>
    <xf numFmtId="167" fontId="45" fillId="5" borderId="7" xfId="0" applyNumberFormat="1" applyFont="1" applyFill="1" applyBorder="1" applyAlignment="1" applyProtection="1">
      <alignment horizontal="center" vertical="center"/>
    </xf>
    <xf numFmtId="167" fontId="45" fillId="5" borderId="5" xfId="0" applyNumberFormat="1" applyFont="1" applyFill="1" applyBorder="1" applyAlignment="1" applyProtection="1">
      <alignment horizontal="center" vertical="center"/>
    </xf>
    <xf numFmtId="0" fontId="28" fillId="0" borderId="14" xfId="0" applyFont="1" applyBorder="1" applyAlignment="1" applyProtection="1">
      <alignment horizontal="center" vertical="center"/>
      <protection hidden="1"/>
    </xf>
    <xf numFmtId="0" fontId="28" fillId="0" borderId="15" xfId="0" applyFont="1" applyBorder="1" applyAlignment="1" applyProtection="1">
      <alignment horizontal="center" vertical="center"/>
      <protection hidden="1"/>
    </xf>
    <xf numFmtId="0" fontId="28" fillId="0" borderId="16" xfId="0" applyFont="1" applyBorder="1" applyAlignment="1" applyProtection="1">
      <alignment horizontal="center" vertical="center"/>
      <protection hidden="1"/>
    </xf>
    <xf numFmtId="0" fontId="28" fillId="0" borderId="9" xfId="0" applyFont="1" applyBorder="1" applyAlignment="1" applyProtection="1">
      <alignment horizontal="center" vertical="center"/>
      <protection hidden="1"/>
    </xf>
    <xf numFmtId="0" fontId="28" fillId="0" borderId="10" xfId="0" applyFont="1" applyBorder="1" applyAlignment="1" applyProtection="1">
      <alignment horizontal="center" vertical="center"/>
      <protection hidden="1"/>
    </xf>
    <xf numFmtId="0" fontId="28" fillId="0" borderId="11" xfId="0" applyFont="1" applyBorder="1" applyAlignment="1" applyProtection="1">
      <alignment horizontal="center" vertical="center"/>
      <protection hidden="1"/>
    </xf>
    <xf numFmtId="10" fontId="69" fillId="5" borderId="7" xfId="1" applyNumberFormat="1" applyFont="1" applyFill="1" applyBorder="1" applyAlignment="1" applyProtection="1">
      <alignment horizontal="left" vertical="center"/>
    </xf>
    <xf numFmtId="10" fontId="69" fillId="5" borderId="5" xfId="1" applyNumberFormat="1" applyFont="1" applyFill="1" applyBorder="1" applyAlignment="1" applyProtection="1">
      <alignment horizontal="left" vertical="center"/>
    </xf>
    <xf numFmtId="0" fontId="0" fillId="0" borderId="6" xfId="0" applyBorder="1" applyAlignment="1">
      <alignment horizontal="center" vertical="center"/>
    </xf>
    <xf numFmtId="0" fontId="0" fillId="0" borderId="5" xfId="0" applyBorder="1" applyAlignment="1">
      <alignment horizontal="center" vertical="center"/>
    </xf>
    <xf numFmtId="10" fontId="1" fillId="8" borderId="6" xfId="1" applyNumberFormat="1" applyFont="1" applyFill="1" applyBorder="1" applyAlignment="1" applyProtection="1">
      <alignment horizontal="center" vertical="center"/>
      <protection locked="0"/>
    </xf>
    <xf numFmtId="10" fontId="1" fillId="8" borderId="7" xfId="1" applyNumberFormat="1" applyFont="1" applyFill="1" applyBorder="1" applyAlignment="1" applyProtection="1">
      <alignment horizontal="center" vertical="center"/>
      <protection locked="0"/>
    </xf>
    <xf numFmtId="10" fontId="1" fillId="8" borderId="5" xfId="1" applyNumberFormat="1" applyFont="1" applyFill="1" applyBorder="1" applyAlignment="1" applyProtection="1">
      <alignment horizontal="center" vertical="center"/>
      <protection locked="0"/>
    </xf>
    <xf numFmtId="167" fontId="10" fillId="5" borderId="6" xfId="0" applyNumberFormat="1" applyFont="1" applyFill="1" applyBorder="1" applyAlignment="1" applyProtection="1">
      <alignment vertical="center"/>
    </xf>
    <xf numFmtId="167" fontId="10" fillId="5" borderId="7" xfId="0" applyNumberFormat="1" applyFont="1" applyFill="1" applyBorder="1" applyAlignment="1" applyProtection="1">
      <alignment vertical="center"/>
    </xf>
    <xf numFmtId="167" fontId="10" fillId="8" borderId="14" xfId="0" applyNumberFormat="1" applyFont="1" applyFill="1" applyBorder="1" applyAlignment="1" applyProtection="1">
      <alignment horizontal="center" vertical="center"/>
      <protection locked="0"/>
    </xf>
    <xf numFmtId="167" fontId="10" fillId="8" borderId="15" xfId="0" applyNumberFormat="1" applyFont="1" applyFill="1" applyBorder="1" applyAlignment="1" applyProtection="1">
      <alignment horizontal="center" vertical="center"/>
      <protection locked="0"/>
    </xf>
    <xf numFmtId="167" fontId="10" fillId="8" borderId="16" xfId="0" applyNumberFormat="1" applyFont="1" applyFill="1" applyBorder="1" applyAlignment="1" applyProtection="1">
      <alignment horizontal="center" vertical="center"/>
      <protection locked="0"/>
    </xf>
    <xf numFmtId="167" fontId="47" fillId="7" borderId="6" xfId="0" applyNumberFormat="1" applyFont="1" applyFill="1" applyBorder="1" applyAlignment="1" applyProtection="1">
      <alignment horizontal="center" vertical="center"/>
    </xf>
    <xf numFmtId="167" fontId="47" fillId="7" borderId="7" xfId="0" applyNumberFormat="1" applyFont="1" applyFill="1" applyBorder="1" applyAlignment="1" applyProtection="1">
      <alignment horizontal="center" vertical="center"/>
    </xf>
    <xf numFmtId="167" fontId="47" fillId="7" borderId="5" xfId="0" applyNumberFormat="1" applyFont="1" applyFill="1" applyBorder="1" applyAlignment="1" applyProtection="1">
      <alignment horizontal="center" vertical="center"/>
    </xf>
    <xf numFmtId="167" fontId="1" fillId="8" borderId="14" xfId="0" applyNumberFormat="1" applyFont="1" applyFill="1" applyBorder="1" applyAlignment="1" applyProtection="1">
      <alignment horizontal="center" vertical="center"/>
      <protection locked="0"/>
    </xf>
    <xf numFmtId="167" fontId="1" fillId="8" borderId="15" xfId="0" applyNumberFormat="1" applyFont="1" applyFill="1" applyBorder="1" applyAlignment="1" applyProtection="1">
      <alignment horizontal="center" vertical="center"/>
      <protection locked="0"/>
    </xf>
    <xf numFmtId="167" fontId="1" fillId="8" borderId="16" xfId="0" applyNumberFormat="1" applyFont="1" applyFill="1" applyBorder="1" applyAlignment="1" applyProtection="1">
      <alignment horizontal="center" vertical="center"/>
      <protection locked="0"/>
    </xf>
    <xf numFmtId="0" fontId="70" fillId="0" borderId="7" xfId="0" applyFont="1" applyBorder="1" applyAlignment="1">
      <alignment horizontal="left" vertical="top"/>
    </xf>
    <xf numFmtId="167" fontId="1" fillId="8" borderId="0" xfId="0" applyNumberFormat="1" applyFont="1" applyFill="1" applyBorder="1" applyAlignment="1" applyProtection="1">
      <alignment horizontal="right" vertical="center"/>
      <protection locked="0"/>
    </xf>
    <xf numFmtId="0" fontId="175" fillId="0" borderId="2" xfId="0" applyFont="1" applyBorder="1" applyAlignment="1" applyProtection="1">
      <alignment horizontal="left" vertical="center" wrapText="1"/>
    </xf>
    <xf numFmtId="0" fontId="202" fillId="0" borderId="55" xfId="0" applyFont="1" applyBorder="1" applyAlignment="1" applyProtection="1">
      <alignment horizontal="left" vertical="top" wrapText="1"/>
      <protection locked="0"/>
    </xf>
    <xf numFmtId="0" fontId="202" fillId="0" borderId="0" xfId="0" applyFont="1" applyAlignment="1" applyProtection="1">
      <alignment vertical="top"/>
    </xf>
    <xf numFmtId="0" fontId="202" fillId="0" borderId="249" xfId="0" applyFont="1" applyBorder="1" applyAlignment="1" applyProtection="1">
      <alignment vertical="top" wrapText="1"/>
      <protection locked="0"/>
    </xf>
    <xf numFmtId="0" fontId="202" fillId="0" borderId="55" xfId="0" applyFont="1" applyBorder="1" applyAlignment="1" applyProtection="1">
      <alignment vertical="top" wrapText="1"/>
      <protection locked="0"/>
    </xf>
    <xf numFmtId="0" fontId="203" fillId="0" borderId="0" xfId="0" applyFont="1" applyAlignment="1" applyProtection="1">
      <alignment vertical="center"/>
    </xf>
    <xf numFmtId="0" fontId="203" fillId="7" borderId="0" xfId="0" applyFont="1" applyFill="1" applyAlignment="1" applyProtection="1">
      <alignment vertical="center"/>
    </xf>
    <xf numFmtId="0" fontId="204" fillId="7" borderId="0" xfId="0" applyFont="1" applyFill="1" applyBorder="1" applyAlignment="1" applyProtection="1">
      <alignment vertical="center" wrapText="1"/>
    </xf>
    <xf numFmtId="167" fontId="161" fillId="8" borderId="6" xfId="0" applyNumberFormat="1" applyFont="1" applyFill="1" applyBorder="1" applyAlignment="1" applyProtection="1">
      <alignment horizontal="right" vertical="center"/>
    </xf>
    <xf numFmtId="0" fontId="28" fillId="8" borderId="6" xfId="0" applyFont="1" applyFill="1" applyBorder="1" applyAlignment="1" applyProtection="1">
      <alignment horizontal="left" vertical="center"/>
    </xf>
    <xf numFmtId="0" fontId="28" fillId="8" borderId="7" xfId="0" applyFont="1" applyFill="1" applyBorder="1" applyAlignment="1" applyProtection="1">
      <alignment horizontal="left" vertical="center"/>
    </xf>
  </cellXfs>
  <cellStyles count="5">
    <cellStyle name="Currency" xfId="3" builtinId="4"/>
    <cellStyle name="Hyperlink" xfId="2" builtinId="8"/>
    <cellStyle name="Normal" xfId="0" builtinId="0"/>
    <cellStyle name="Normal 2" xfId="4"/>
    <cellStyle name="Percent" xfId="1" builtinId="5"/>
  </cellStyles>
  <dxfs count="195">
    <dxf>
      <font>
        <strike val="0"/>
        <color theme="0"/>
      </font>
      <fill>
        <patternFill patternType="none">
          <bgColor auto="1"/>
        </patternFill>
      </fill>
      <border>
        <left/>
        <right/>
        <top/>
        <bottom/>
        <vertical/>
        <horizontal/>
      </border>
    </dxf>
    <dxf>
      <font>
        <strike val="0"/>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auto="1"/>
      </font>
    </dxf>
    <dxf>
      <font>
        <color auto="1"/>
      </font>
    </dxf>
    <dxf>
      <font>
        <color auto="1"/>
      </font>
    </dxf>
    <dxf>
      <font>
        <color auto="1"/>
      </font>
    </dxf>
    <dxf>
      <font>
        <color rgb="FFFF0000"/>
      </font>
    </dxf>
    <dxf>
      <font>
        <strike val="0"/>
        <color theme="0"/>
      </font>
    </dxf>
    <dxf>
      <font>
        <color theme="0"/>
      </font>
    </dxf>
    <dxf>
      <font>
        <strike val="0"/>
        <color theme="0"/>
      </font>
    </dxf>
    <dxf>
      <font>
        <color theme="0"/>
      </font>
    </dxf>
    <dxf>
      <font>
        <strike val="0"/>
        <color theme="0"/>
      </font>
    </dxf>
    <dxf>
      <font>
        <color rgb="FFFF0000"/>
      </font>
    </dxf>
    <dxf>
      <font>
        <color theme="1" tint="0.499984740745262"/>
      </font>
    </dxf>
    <dxf>
      <font>
        <color theme="1" tint="0.499984740745262"/>
      </font>
    </dxf>
    <dxf>
      <font>
        <strike val="0"/>
        <color rgb="FFFF0000"/>
      </font>
    </dxf>
    <dxf>
      <font>
        <color theme="0" tint="-0.34998626667073579"/>
      </font>
    </dxf>
    <dxf>
      <font>
        <strike val="0"/>
        <color rgb="FFFF0000"/>
      </font>
    </dxf>
    <dxf>
      <font>
        <color theme="0" tint="-0.34998626667073579"/>
      </font>
    </dxf>
    <dxf>
      <font>
        <strike val="0"/>
        <color rgb="FFFF0000"/>
      </font>
    </dxf>
    <dxf>
      <font>
        <color theme="0" tint="-0.34998626667073579"/>
      </font>
    </dxf>
    <dxf>
      <font>
        <strike val="0"/>
        <color theme="0" tint="-0.499984740745262"/>
      </font>
    </dxf>
    <dxf>
      <font>
        <strike val="0"/>
        <color rgb="FFFF0000"/>
      </font>
    </dxf>
    <dxf>
      <font>
        <strike val="0"/>
        <color rgb="FFFF0000"/>
      </font>
    </dxf>
    <dxf>
      <font>
        <color theme="0" tint="-0.34998626667073579"/>
      </font>
    </dxf>
    <dxf>
      <font>
        <b/>
        <i val="0"/>
        <strike val="0"/>
        <color theme="9" tint="-0.24994659260841701"/>
      </font>
    </dxf>
    <dxf>
      <font>
        <color auto="1"/>
      </font>
    </dxf>
    <dxf>
      <font>
        <b/>
        <i val="0"/>
        <strike val="0"/>
        <color theme="9" tint="-0.24994659260841701"/>
      </font>
    </dxf>
    <dxf>
      <font>
        <b/>
        <i val="0"/>
        <strike val="0"/>
        <color theme="9" tint="-0.24994659260841701"/>
      </font>
    </dxf>
    <dxf>
      <font>
        <color auto="1"/>
      </font>
    </dxf>
    <dxf>
      <font>
        <b/>
        <i val="0"/>
        <strike val="0"/>
        <color theme="9" tint="-0.24994659260841701"/>
      </font>
    </dxf>
    <dxf>
      <font>
        <color auto="1"/>
      </font>
    </dxf>
    <dxf>
      <font>
        <color auto="1"/>
      </font>
    </dxf>
    <dxf>
      <font>
        <b/>
        <i val="0"/>
        <strike val="0"/>
        <color theme="9" tint="-0.24994659260841701"/>
      </font>
    </dxf>
    <dxf>
      <font>
        <color auto="1"/>
      </font>
    </dxf>
    <dxf>
      <font>
        <b/>
        <i val="0"/>
        <strike val="0"/>
        <color theme="9" tint="-0.24994659260841701"/>
      </font>
    </dxf>
    <dxf>
      <font>
        <color auto="1"/>
      </font>
    </dxf>
    <dxf>
      <font>
        <b/>
        <i val="0"/>
        <strike val="0"/>
        <color theme="9" tint="-0.24994659260841701"/>
      </font>
    </dxf>
    <dxf>
      <font>
        <color auto="1"/>
      </font>
    </dxf>
    <dxf>
      <font>
        <color auto="1"/>
      </font>
    </dxf>
    <dxf>
      <font>
        <b/>
        <i val="0"/>
        <strike val="0"/>
        <color theme="9" tint="-0.24994659260841701"/>
      </font>
    </dxf>
    <dxf>
      <font>
        <color auto="1"/>
      </font>
    </dxf>
    <dxf>
      <font>
        <color auto="1"/>
      </font>
    </dxf>
    <dxf>
      <font>
        <b/>
        <i val="0"/>
        <strike val="0"/>
        <color theme="9" tint="-0.24994659260841701"/>
      </font>
    </dxf>
    <dxf>
      <font>
        <color auto="1"/>
      </font>
    </dxf>
    <dxf>
      <font>
        <b/>
        <i val="0"/>
        <strike val="0"/>
        <color theme="9" tint="-0.24994659260841701"/>
      </font>
    </dxf>
    <dxf>
      <font>
        <color auto="1"/>
      </font>
    </dxf>
    <dxf>
      <font>
        <b/>
        <i val="0"/>
        <strike val="0"/>
        <color theme="9" tint="-0.24994659260841701"/>
      </font>
    </dxf>
    <dxf>
      <font>
        <color auto="1"/>
      </font>
    </dxf>
    <dxf>
      <font>
        <b/>
        <i val="0"/>
        <strike val="0"/>
        <color theme="9" tint="-0.24994659260841701"/>
      </font>
    </dxf>
    <dxf>
      <font>
        <b/>
        <i val="0"/>
        <strike val="0"/>
        <color theme="9" tint="-0.24994659260841701"/>
      </font>
    </dxf>
    <dxf>
      <font>
        <color auto="1"/>
      </font>
    </dxf>
    <dxf>
      <font>
        <b/>
        <i val="0"/>
        <strike val="0"/>
        <color theme="9" tint="-0.24994659260841701"/>
      </font>
    </dxf>
    <dxf>
      <font>
        <color auto="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auto="1"/>
      </font>
    </dxf>
    <dxf>
      <font>
        <color auto="1"/>
      </font>
    </dxf>
    <dxf>
      <font>
        <color auto="1"/>
      </font>
    </dxf>
    <dxf>
      <font>
        <color auto="1"/>
      </font>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b/>
        <i val="0"/>
        <strike val="0"/>
      </font>
      <fill>
        <patternFill>
          <bgColor theme="0" tint="-4.9989318521683403E-2"/>
        </patternFill>
      </fill>
    </dxf>
    <dxf>
      <font>
        <color rgb="FFFF0000"/>
      </font>
    </dxf>
    <dxf>
      <font>
        <color theme="0" tint="-0.499984740745262"/>
      </font>
    </dxf>
    <dxf>
      <font>
        <color theme="0" tint="-0.499984740745262"/>
      </font>
    </dxf>
    <dxf>
      <font>
        <color theme="0" tint="-0.499984740745262"/>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strike val="0"/>
        <color theme="0" tint="-0.24994659260841701"/>
      </font>
    </dxf>
    <dxf>
      <font>
        <strike val="0"/>
        <color theme="0" tint="-0.24994659260841701"/>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patternFill>
      </fill>
    </dxf>
    <dxf>
      <font>
        <color theme="0"/>
      </font>
      <fill>
        <patternFill patternType="solid">
          <bgColor theme="0"/>
        </patternFill>
      </fill>
    </dxf>
    <dxf>
      <font>
        <color theme="0"/>
      </font>
      <fill>
        <patternFill>
          <bgColor theme="0"/>
        </patternFill>
      </fill>
    </dxf>
    <dxf>
      <font>
        <color theme="0"/>
      </font>
      <fill>
        <patternFill>
          <bgColor theme="0"/>
        </patternFill>
      </fill>
    </dxf>
    <dxf>
      <font>
        <color theme="0"/>
      </font>
    </dxf>
    <dxf>
      <font>
        <color theme="0" tint="-4.9989318521683403E-2"/>
      </font>
    </dxf>
    <dxf>
      <font>
        <color theme="0"/>
      </font>
    </dxf>
    <dxf>
      <font>
        <color rgb="FFFF0000"/>
      </font>
    </dxf>
    <dxf>
      <font>
        <color theme="1" tint="0.499984740745262"/>
      </font>
    </dxf>
    <dxf>
      <font>
        <color theme="1" tint="0.499984740745262"/>
      </font>
    </dxf>
    <dxf>
      <font>
        <color theme="0"/>
      </font>
    </dxf>
    <dxf>
      <font>
        <color theme="0" tint="-0.14996795556505021"/>
      </font>
    </dxf>
    <dxf>
      <font>
        <color theme="0" tint="-0.14996795556505021"/>
      </font>
    </dxf>
    <dxf>
      <font>
        <color theme="0"/>
      </font>
      <fill>
        <patternFill patternType="none">
          <bgColor auto="1"/>
        </patternFill>
      </fill>
      <border>
        <left/>
        <right/>
        <top/>
        <bottom/>
        <vertical/>
        <horizontal/>
      </border>
    </dxf>
    <dxf>
      <font>
        <color auto="1"/>
      </font>
    </dxf>
    <dxf>
      <font>
        <color auto="1"/>
      </font>
    </dxf>
    <dxf>
      <font>
        <color auto="1"/>
      </font>
    </dxf>
    <dxf>
      <font>
        <strike val="0"/>
        <color theme="0"/>
      </font>
      <fill>
        <patternFill patternType="none">
          <bgColor auto="1"/>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strike val="0"/>
        <color theme="0"/>
      </font>
      <fill>
        <patternFill patternType="none">
          <bgColor auto="1"/>
        </patternFill>
      </fill>
      <border>
        <left/>
        <right/>
        <top/>
        <bottom/>
        <vertical/>
        <horizontal/>
      </border>
    </dxf>
    <dxf>
      <font>
        <color theme="1" tint="0.499984740745262"/>
      </font>
    </dxf>
    <dxf>
      <font>
        <strike val="0"/>
        <color auto="1"/>
      </font>
    </dxf>
    <dxf>
      <font>
        <strike val="0"/>
        <color auto="1"/>
      </font>
    </dxf>
    <dxf>
      <font>
        <color theme="1" tint="0.49998474074526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77" formatCode="0.0"/>
    </dxf>
  </dxfs>
  <tableStyles count="0" defaultTableStyle="TableStyleMedium2" defaultPivotStyle="PivotStyleLight16"/>
  <colors>
    <mruColors>
      <color rgb="FF292929"/>
      <color rgb="FF96C83C"/>
      <color rgb="FF78B832"/>
      <color rgb="FF2FAF35"/>
      <color rgb="FF5A8A26"/>
      <color rgb="FF54B86E"/>
      <color rgb="FF2CA432"/>
      <color rgb="FF73C5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Upfront</a:t>
            </a:r>
            <a:r>
              <a:rPr lang="en-AU" baseline="0"/>
              <a:t> v </a:t>
            </a:r>
            <a:r>
              <a:rPr lang="en-AU" baseline="0">
                <a:solidFill>
                  <a:schemeClr val="accent4">
                    <a:lumMod val="75000"/>
                  </a:schemeClr>
                </a:solidFill>
              </a:rPr>
              <a:t>Trail</a:t>
            </a:r>
            <a:r>
              <a:rPr lang="en-AU" baseline="0"/>
              <a:t> v </a:t>
            </a:r>
            <a:r>
              <a:rPr lang="en-AU" baseline="0">
                <a:solidFill>
                  <a:schemeClr val="accent1">
                    <a:lumMod val="60000"/>
                    <a:lumOff val="40000"/>
                  </a:schemeClr>
                </a:solidFill>
              </a:rPr>
              <a:t>Loan Balance</a:t>
            </a:r>
            <a:r>
              <a:rPr lang="en-AU">
                <a:solidFill>
                  <a:schemeClr val="accent1">
                    <a:lumMod val="60000"/>
                    <a:lumOff val="40000"/>
                  </a:schemeClr>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spPr>
            <a:solidFill>
              <a:schemeClr val="accent1">
                <a:alpha val="29000"/>
              </a:schemeClr>
            </a:solidFill>
            <a:ln>
              <a:noFill/>
            </a:ln>
            <a:effectLst/>
          </c:spPr>
          <c:val>
            <c:numRef>
              <c:f>#REF!</c:f>
              <c:numCache>
                <c:formatCode>General</c:formatCode>
                <c:ptCount val="8"/>
                <c:pt idx="0">
                  <c:v>1028000</c:v>
                </c:pt>
                <c:pt idx="1">
                  <c:v>1018959.4321826057</c:v>
                </c:pt>
                <c:pt idx="2">
                  <c:v>1000334.6306063668</c:v>
                </c:pt>
                <c:pt idx="3">
                  <c:v>980960.68327502313</c:v>
                </c:pt>
                <c:pt idx="4">
                  <c:v>960807.45728433435</c:v>
                </c:pt>
                <c:pt idx="5">
                  <c:v>939843.60769366834</c:v>
                </c:pt>
                <c:pt idx="6">
                  <c:v>918036.52877423784</c:v>
                </c:pt>
                <c:pt idx="7">
                  <c:v>895352.30329639418</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Avg Balance</c:v>
                      </c:pt>
                    </c:strCache>
                  </c:strRef>
                </c15:tx>
              </c15:filteredSeriesTitle>
            </c:ext>
            <c:ext xmlns:c16="http://schemas.microsoft.com/office/drawing/2014/chart" uri="{C3380CC4-5D6E-409C-BE32-E72D297353CC}">
              <c16:uniqueId val="{00000000-5BC7-4532-8312-97FAB271BB17}"/>
            </c:ext>
          </c:extLst>
        </c:ser>
        <c:ser>
          <c:idx val="1"/>
          <c:order val="1"/>
          <c:spPr>
            <a:solidFill>
              <a:schemeClr val="accent2"/>
            </a:solidFill>
            <a:ln>
              <a:noFill/>
            </a:ln>
            <a:effectLst/>
          </c:spPr>
          <c:val>
            <c:numRef>
              <c:f>#REF!</c:f>
              <c:numCache>
                <c:formatCode>General</c:formatCode>
                <c:ptCount val="7"/>
                <c:pt idx="0">
                  <c:v>1</c:v>
                </c:pt>
                <c:pt idx="1">
                  <c:v>2</c:v>
                </c:pt>
                <c:pt idx="2">
                  <c:v>3</c:v>
                </c:pt>
                <c:pt idx="3">
                  <c:v>4</c:v>
                </c:pt>
                <c:pt idx="4">
                  <c:v>5</c:v>
                </c:pt>
                <c:pt idx="5">
                  <c:v>6</c:v>
                </c:pt>
                <c:pt idx="6">
                  <c:v>7</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Year</c:v>
                      </c:pt>
                    </c:strCache>
                  </c:strRef>
                </c15:tx>
              </c15:filteredSeriesTitle>
            </c:ext>
            <c:ext xmlns:c16="http://schemas.microsoft.com/office/drawing/2014/chart" uri="{C3380CC4-5D6E-409C-BE32-E72D297353CC}">
              <c16:uniqueId val="{00000001-5BC7-4532-8312-97FAB271BB17}"/>
            </c:ext>
          </c:extLst>
        </c:ser>
        <c:dLbls>
          <c:showLegendKey val="0"/>
          <c:showVal val="0"/>
          <c:showCatName val="0"/>
          <c:showSerName val="0"/>
          <c:showPercent val="0"/>
          <c:showBubbleSize val="0"/>
        </c:dLbls>
        <c:axId val="372016456"/>
        <c:axId val="372012520"/>
      </c:areaChart>
      <c:barChart>
        <c:barDir val="col"/>
        <c:grouping val="clustered"/>
        <c:varyColors val="0"/>
        <c:ser>
          <c:idx val="2"/>
          <c:order val="2"/>
          <c:spPr>
            <a:solidFill>
              <a:schemeClr val="accent3"/>
            </a:solidFill>
            <a:ln>
              <a:noFill/>
            </a:ln>
            <a:effectLst/>
          </c:spPr>
          <c:invertIfNegative val="0"/>
          <c:val>
            <c:numRef>
              <c:f>#REF!</c:f>
              <c:numCache>
                <c:formatCode>General</c:formatCode>
                <c:ptCount val="7"/>
                <c:pt idx="0">
                  <c:v>6682</c:v>
                </c:pt>
                <c:pt idx="1">
                  <c:v>6682</c:v>
                </c:pt>
                <c:pt idx="2">
                  <c:v>6682</c:v>
                </c:pt>
                <c:pt idx="3">
                  <c:v>6682</c:v>
                </c:pt>
                <c:pt idx="4">
                  <c:v>6682</c:v>
                </c:pt>
                <c:pt idx="5">
                  <c:v>6682</c:v>
                </c:pt>
                <c:pt idx="6">
                  <c:v>6682</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Upfront Cum</c:v>
                      </c:pt>
                    </c:strCache>
                  </c:strRef>
                </c15:tx>
              </c15:filteredSeriesTitle>
            </c:ext>
            <c:ext xmlns:c16="http://schemas.microsoft.com/office/drawing/2014/chart" uri="{C3380CC4-5D6E-409C-BE32-E72D297353CC}">
              <c16:uniqueId val="{00000002-5BC7-4532-8312-97FAB271BB17}"/>
            </c:ext>
          </c:extLst>
        </c:ser>
        <c:ser>
          <c:idx val="3"/>
          <c:order val="3"/>
          <c:spPr>
            <a:solidFill>
              <a:schemeClr val="accent4"/>
            </a:solidFill>
            <a:ln>
              <a:noFill/>
            </a:ln>
            <a:effectLst/>
          </c:spPr>
          <c:invertIfNegative val="0"/>
          <c:val>
            <c:numRef>
              <c:f>#REF!</c:f>
              <c:numCache>
                <c:formatCode>General</c:formatCode>
                <c:ptCount val="7"/>
                <c:pt idx="0">
                  <c:v>1528.4391482739086</c:v>
                </c:pt>
                <c:pt idx="1">
                  <c:v>3028.9410941834585</c:v>
                </c:pt>
                <c:pt idx="2">
                  <c:v>4500.3821190959934</c:v>
                </c:pt>
                <c:pt idx="3">
                  <c:v>6421.997033664662</c:v>
                </c:pt>
                <c:pt idx="4">
                  <c:v>8301.6842490519994</c:v>
                </c:pt>
                <c:pt idx="5">
                  <c:v>10137.757306600475</c:v>
                </c:pt>
                <c:pt idx="6">
                  <c:v>11928.461913193263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Trail Cumulative</c:v>
                      </c:pt>
                    </c:strCache>
                  </c:strRef>
                </c15:tx>
              </c15:filteredSeriesTitle>
            </c:ext>
            <c:ext xmlns:c16="http://schemas.microsoft.com/office/drawing/2014/chart" uri="{C3380CC4-5D6E-409C-BE32-E72D297353CC}">
              <c16:uniqueId val="{00000003-5BC7-4532-8312-97FAB271BB17}"/>
            </c:ext>
          </c:extLst>
        </c:ser>
        <c:dLbls>
          <c:showLegendKey val="0"/>
          <c:showVal val="0"/>
          <c:showCatName val="0"/>
          <c:showSerName val="0"/>
          <c:showPercent val="0"/>
          <c:showBubbleSize val="0"/>
        </c:dLbls>
        <c:gapWidth val="219"/>
        <c:axId val="371994808"/>
        <c:axId val="371995464"/>
      </c:barChart>
      <c:catAx>
        <c:axId val="371994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1995464"/>
        <c:crosses val="autoZero"/>
        <c:auto val="1"/>
        <c:lblAlgn val="ctr"/>
        <c:lblOffset val="100"/>
        <c:noMultiLvlLbl val="0"/>
      </c:catAx>
      <c:valAx>
        <c:axId val="371995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1994808"/>
        <c:crosses val="autoZero"/>
        <c:crossBetween val="between"/>
      </c:valAx>
      <c:valAx>
        <c:axId val="37201252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016456"/>
        <c:crosses val="max"/>
        <c:crossBetween val="between"/>
      </c:valAx>
      <c:catAx>
        <c:axId val="372016456"/>
        <c:scaling>
          <c:orientation val="minMax"/>
        </c:scaling>
        <c:delete val="1"/>
        <c:axPos val="b"/>
        <c:majorTickMark val="out"/>
        <c:minorTickMark val="none"/>
        <c:tickLblPos val="nextTo"/>
        <c:crossAx val="3720125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BR$8" noThreeD="1"/>
</file>

<file path=xl/ctrlProps/ctrlProp2.xml><?xml version="1.0" encoding="utf-8"?>
<formControlPr xmlns="http://schemas.microsoft.com/office/spreadsheetml/2009/9/main" objectType="CheckBox" fmlaLink="$BY$8" noThreeD="1"/>
</file>

<file path=xl/ctrlProps/ctrlProp3.xml><?xml version="1.0" encoding="utf-8"?>
<formControlPr xmlns="http://schemas.microsoft.com/office/spreadsheetml/2009/9/main" objectType="CheckBox" fmlaLink="$N$26" noThreeD="1"/>
</file>

<file path=xl/ctrlProps/ctrlProp4.xml><?xml version="1.0" encoding="utf-8"?>
<formControlPr xmlns="http://schemas.microsoft.com/office/spreadsheetml/2009/9/main" objectType="CheckBox" fmlaLink="$Y$26"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2.jp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4.jpe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1</xdr:col>
      <xdr:colOff>15240</xdr:colOff>
      <xdr:row>21</xdr:row>
      <xdr:rowOff>179070</xdr:rowOff>
    </xdr:from>
    <xdr:to>
      <xdr:col>26</xdr:col>
      <xdr:colOff>28576</xdr:colOff>
      <xdr:row>24</xdr:row>
      <xdr:rowOff>177074</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253365" y="7151370"/>
          <a:ext cx="6014086" cy="712379"/>
          <a:chOff x="240030" y="7025640"/>
          <a:chExt cx="5633086" cy="706664"/>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117" r="14216" b="19118"/>
          <a:stretch/>
        </xdr:blipFill>
        <xdr:spPr>
          <a:xfrm>
            <a:off x="240030" y="7025640"/>
            <a:ext cx="480476" cy="582930"/>
          </a:xfrm>
          <a:prstGeom prst="rect">
            <a:avLst/>
          </a:prstGeom>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758" r="9709" b="23301"/>
          <a:stretch/>
        </xdr:blipFill>
        <xdr:spPr>
          <a:xfrm>
            <a:off x="729496" y="7066420"/>
            <a:ext cx="476250" cy="557389"/>
          </a:xfrm>
          <a:prstGeom prst="rect">
            <a:avLst/>
          </a:prstGeom>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088"/>
          <a:stretch/>
        </xdr:blipFill>
        <xdr:spPr>
          <a:xfrm>
            <a:off x="1153776" y="7082790"/>
            <a:ext cx="523470" cy="631025"/>
          </a:xfrm>
          <a:prstGeom prst="rect">
            <a:avLst/>
          </a:prstGeom>
          <a:ln w="6350">
            <a:no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463" r="-1"/>
          <a:stretch/>
        </xdr:blipFill>
        <xdr:spPr>
          <a:xfrm>
            <a:off x="1541456" y="7082790"/>
            <a:ext cx="605542" cy="613974"/>
          </a:xfrm>
          <a:prstGeom prst="rect">
            <a:avLst/>
          </a:prstGeom>
          <a:ln w="6350">
            <a:no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932"/>
          <a:stretch/>
        </xdr:blipFill>
        <xdr:spPr>
          <a:xfrm>
            <a:off x="2053118" y="7067550"/>
            <a:ext cx="494109" cy="546553"/>
          </a:xfrm>
          <a:prstGeom prst="rect">
            <a:avLst/>
          </a:prstGeom>
          <a:ln w="6350">
            <a:no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7500" r="18750" b="17084"/>
          <a:stretch/>
        </xdr:blipFill>
        <xdr:spPr>
          <a:xfrm>
            <a:off x="2521927" y="7054626"/>
            <a:ext cx="455190" cy="592044"/>
          </a:xfrm>
          <a:prstGeom prst="rect">
            <a:avLst/>
          </a:prstGeom>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543" r="17212"/>
          <a:stretch/>
        </xdr:blipFill>
        <xdr:spPr>
          <a:xfrm>
            <a:off x="2917527" y="7031906"/>
            <a:ext cx="531372" cy="700398"/>
          </a:xfrm>
          <a:prstGeom prst="rect">
            <a:avLst/>
          </a:prstGeom>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89309" y="7057021"/>
            <a:ext cx="638175" cy="626244"/>
          </a:xfrm>
          <a:prstGeom prst="rect">
            <a:avLst/>
          </a:prstGeom>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4881" b="2977"/>
          <a:stretch/>
        </xdr:blipFill>
        <xdr:spPr>
          <a:xfrm>
            <a:off x="3910744" y="7090410"/>
            <a:ext cx="518092" cy="590550"/>
          </a:xfrm>
          <a:prstGeom prst="rect">
            <a:avLst/>
          </a:prstGeom>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2613" r="16583" b="31156"/>
          <a:stretch/>
        </xdr:blipFill>
        <xdr:spPr>
          <a:xfrm>
            <a:off x="4365436" y="7052310"/>
            <a:ext cx="461010" cy="521970"/>
          </a:xfrm>
          <a:prstGeom prst="rect">
            <a:avLst/>
          </a:prstGeom>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052"/>
          <a:stretch/>
        </xdr:blipFill>
        <xdr:spPr>
          <a:xfrm>
            <a:off x="4854486" y="7082790"/>
            <a:ext cx="501009" cy="613974"/>
          </a:xfrm>
          <a:prstGeom prst="rect">
            <a:avLst/>
          </a:prstGeom>
          <a:ln w="6350">
            <a:no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520" r="1"/>
          <a:stretch/>
        </xdr:blipFill>
        <xdr:spPr>
          <a:xfrm>
            <a:off x="5269231" y="7082790"/>
            <a:ext cx="603885" cy="613974"/>
          </a:xfrm>
          <a:prstGeom prst="rect">
            <a:avLst/>
          </a:prstGeom>
          <a:ln w="6350">
            <a:noFill/>
          </a:ln>
        </xdr:spPr>
      </xdr:pic>
    </xdr:grpSp>
    <xdr:clientData/>
  </xdr:twoCellAnchor>
  <xdr:twoCellAnchor>
    <xdr:from>
      <xdr:col>0</xdr:col>
      <xdr:colOff>209550</xdr:colOff>
      <xdr:row>24</xdr:row>
      <xdr:rowOff>15241</xdr:rowOff>
    </xdr:from>
    <xdr:to>
      <xdr:col>26</xdr:col>
      <xdr:colOff>47625</xdr:colOff>
      <xdr:row>25</xdr:row>
      <xdr:rowOff>830580</xdr:rowOff>
    </xdr:to>
    <xdr:sp macro="" textlink="">
      <xdr:nvSpPr>
        <xdr:cNvPr id="31" name="Text Box 12">
          <a:extLst>
            <a:ext uri="{FF2B5EF4-FFF2-40B4-BE49-F238E27FC236}">
              <a16:creationId xmlns:a16="http://schemas.microsoft.com/office/drawing/2014/main" id="{00000000-0008-0000-0000-00001F000000}"/>
            </a:ext>
          </a:extLst>
        </xdr:cNvPr>
        <xdr:cNvSpPr txBox="1">
          <a:spLocks/>
        </xdr:cNvSpPr>
      </xdr:nvSpPr>
      <xdr:spPr bwMode="auto">
        <a:xfrm>
          <a:off x="209550" y="6797041"/>
          <a:ext cx="6177915" cy="1051559"/>
        </a:xfrm>
        <a:prstGeom prst="rect">
          <a:avLst/>
        </a:prstGeom>
        <a:ln>
          <a:headEnd/>
          <a:tailEnd/>
        </a:ln>
      </xdr:spPr>
      <xdr:style>
        <a:lnRef idx="1">
          <a:schemeClr val="accent3"/>
        </a:lnRef>
        <a:fillRef idx="2">
          <a:schemeClr val="accent3"/>
        </a:fillRef>
        <a:effectRef idx="1">
          <a:schemeClr val="accent3"/>
        </a:effectRef>
        <a:fontRef idx="minor">
          <a:schemeClr val="dk1"/>
        </a:fontRef>
      </xdr:style>
      <xdr:txBody>
        <a:bodyPr rot="0" vert="horz" wrap="square" lIns="91440" tIns="45720" rIns="91440" bIns="45720" anchor="t" anchorCtr="0" upright="1">
          <a:noAutofit/>
        </a:bodyPr>
        <a:lstStyle/>
        <a:p>
          <a:pPr>
            <a:lnSpc>
              <a:spcPct val="115000"/>
            </a:lnSpc>
            <a:spcAft>
              <a:spcPts val="0"/>
            </a:spcAft>
          </a:pPr>
          <a:r>
            <a:rPr lang="en-AU" sz="800" b="1">
              <a:effectLst/>
              <a:latin typeface="Arial" panose="020B0604020202020204" pitchFamily="34" charset="0"/>
              <a:ea typeface="Calibri" panose="020F0502020204030204" pitchFamily="34" charset="0"/>
              <a:cs typeface="Calibri" panose="020F0502020204030204" pitchFamily="34" charset="0"/>
            </a:rPr>
            <a:t>Important Notice to Clients:</a:t>
          </a:r>
          <a:endParaRPr lang="en-AU" sz="1100">
            <a:effectLst/>
            <a:latin typeface="Calibri" panose="020F0502020204030204" pitchFamily="34" charset="0"/>
            <a:ea typeface="Calibri" panose="020F0502020204030204" pitchFamily="34" charset="0"/>
            <a:cs typeface="Calibri" panose="020F0502020204030204" pitchFamily="34" charset="0"/>
          </a:endParaRPr>
        </a:p>
        <a:p>
          <a:pPr>
            <a:lnSpc>
              <a:spcPct val="115000"/>
            </a:lnSpc>
            <a:spcAft>
              <a:spcPts val="0"/>
            </a:spcAft>
          </a:pPr>
          <a:r>
            <a:rPr lang="en-AU" sz="800">
              <a:effectLst/>
              <a:latin typeface="Arial" panose="020B0604020202020204" pitchFamily="34" charset="0"/>
              <a:ea typeface="Calibri" panose="020F0502020204030204" pitchFamily="34" charset="0"/>
              <a:cs typeface="Calibri" panose="020F0502020204030204" pitchFamily="34" charset="0"/>
            </a:rPr>
            <a:t>Your Mortgage Broker must have reasonable grounds for making a Credit Proposal recommendation. Before making such a recommendation the Mortgage Broker must ask you about your borrowing objectives, financial situation and your particular needs. The information requested in this form will be used strictly for that purpose. </a:t>
          </a:r>
          <a:endParaRPr lang="en-AU" sz="1100">
            <a:effectLst/>
            <a:latin typeface="Calibri" panose="020F0502020204030204" pitchFamily="34" charset="0"/>
            <a:ea typeface="Calibri" panose="020F0502020204030204" pitchFamily="34" charset="0"/>
            <a:cs typeface="Calibri" panose="020F0502020204030204" pitchFamily="34" charset="0"/>
          </a:endParaRPr>
        </a:p>
        <a:p>
          <a:pPr>
            <a:lnSpc>
              <a:spcPct val="115000"/>
            </a:lnSpc>
            <a:spcAft>
              <a:spcPts val="0"/>
            </a:spcAft>
          </a:pPr>
          <a:r>
            <a:rPr lang="en-AU" sz="800" b="1">
              <a:effectLst/>
              <a:latin typeface="Arial" panose="020B0604020202020204" pitchFamily="34" charset="0"/>
              <a:ea typeface="Calibri" panose="020F0502020204030204" pitchFamily="34" charset="0"/>
              <a:cs typeface="Calibri" panose="020F0502020204030204" pitchFamily="34" charset="0"/>
            </a:rPr>
            <a:t>Warning: </a:t>
          </a:r>
          <a:endParaRPr lang="en-AU" sz="1100">
            <a:effectLst/>
            <a:latin typeface="Calibri" panose="020F0502020204030204" pitchFamily="34" charset="0"/>
            <a:ea typeface="Calibri" panose="020F0502020204030204" pitchFamily="34" charset="0"/>
            <a:cs typeface="Calibri" panose="020F0502020204030204" pitchFamily="34" charset="0"/>
          </a:endParaRPr>
        </a:p>
        <a:p>
          <a:pPr>
            <a:lnSpc>
              <a:spcPct val="115000"/>
            </a:lnSpc>
            <a:spcAft>
              <a:spcPts val="0"/>
            </a:spcAft>
          </a:pPr>
          <a:r>
            <a:rPr lang="en-AU" sz="800">
              <a:effectLst/>
              <a:latin typeface="Arial" panose="020B0604020202020204" pitchFamily="34" charset="0"/>
              <a:ea typeface="Calibri" panose="020F0502020204030204" pitchFamily="34" charset="0"/>
              <a:cs typeface="Calibri" panose="020F0502020204030204" pitchFamily="34" charset="0"/>
            </a:rPr>
            <a:t>Your Mortgage Broker could make inappropriate recommendations or give inappropriate advice if you fail to fully and accurately complete this form &amp; or disclose your full financial position.</a:t>
          </a:r>
          <a:endParaRPr lang="en-AU" sz="1100">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editAs="oneCell">
    <xdr:from>
      <xdr:col>1</xdr:col>
      <xdr:colOff>0</xdr:colOff>
      <xdr:row>5</xdr:row>
      <xdr:rowOff>0</xdr:rowOff>
    </xdr:from>
    <xdr:to>
      <xdr:col>11</xdr:col>
      <xdr:colOff>18750</xdr:colOff>
      <xdr:row>13</xdr:row>
      <xdr:rowOff>104524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3"/>
        <a:stretch>
          <a:fillRect/>
        </a:stretch>
      </xdr:blipFill>
      <xdr:spPr>
        <a:xfrm>
          <a:off x="238125" y="2343150"/>
          <a:ext cx="2400000" cy="2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257175</xdr:colOff>
          <xdr:row>11</xdr:row>
          <xdr:rowOff>28575</xdr:rowOff>
        </xdr:from>
        <xdr:to>
          <xdr:col>12</xdr:col>
          <xdr:colOff>19050</xdr:colOff>
          <xdr:row>11</xdr:row>
          <xdr:rowOff>228600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2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Same as Current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11</xdr:row>
          <xdr:rowOff>0</xdr:rowOff>
        </xdr:from>
        <xdr:to>
          <xdr:col>23</xdr:col>
          <xdr:colOff>66675</xdr:colOff>
          <xdr:row>11</xdr:row>
          <xdr:rowOff>228600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2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Same as Current Address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25</xdr:row>
          <xdr:rowOff>28575</xdr:rowOff>
        </xdr:from>
        <xdr:to>
          <xdr:col>12</xdr:col>
          <xdr:colOff>19050</xdr:colOff>
          <xdr:row>25</xdr:row>
          <xdr:rowOff>228600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2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Same as Current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25</xdr:row>
          <xdr:rowOff>28575</xdr:rowOff>
        </xdr:from>
        <xdr:to>
          <xdr:col>23</xdr:col>
          <xdr:colOff>19050</xdr:colOff>
          <xdr:row>26</xdr:row>
          <xdr:rowOff>19050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2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Same as Current Address</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19</xdr:col>
      <xdr:colOff>5444</xdr:colOff>
      <xdr:row>9</xdr:row>
      <xdr:rowOff>194130</xdr:rowOff>
    </xdr:from>
    <xdr:to>
      <xdr:col>27</xdr:col>
      <xdr:colOff>8618</xdr:colOff>
      <xdr:row>16</xdr:row>
      <xdr:rowOff>27215</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1" y="2806701"/>
          <a:ext cx="2006146" cy="1471385"/>
        </a:xfrm>
        <a:prstGeom prst="rect">
          <a:avLst/>
        </a:prstGeom>
      </xdr:spPr>
    </xdr:pic>
    <xdr:clientData/>
  </xdr:twoCellAnchor>
  <xdr:twoCellAnchor editAs="oneCell">
    <xdr:from>
      <xdr:col>19</xdr:col>
      <xdr:colOff>16330</xdr:colOff>
      <xdr:row>19</xdr:row>
      <xdr:rowOff>162560</xdr:rowOff>
    </xdr:from>
    <xdr:to>
      <xdr:col>27</xdr:col>
      <xdr:colOff>19504</xdr:colOff>
      <xdr:row>26</xdr:row>
      <xdr:rowOff>4752</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3387" y="5077460"/>
          <a:ext cx="2006146" cy="1474652"/>
        </a:xfrm>
        <a:prstGeom prst="rect">
          <a:avLst/>
        </a:prstGeom>
      </xdr:spPr>
    </xdr:pic>
    <xdr:clientData/>
  </xdr:twoCellAnchor>
  <xdr:twoCellAnchor editAs="oneCell">
    <xdr:from>
      <xdr:col>18</xdr:col>
      <xdr:colOff>185058</xdr:colOff>
      <xdr:row>29</xdr:row>
      <xdr:rowOff>4719</xdr:rowOff>
    </xdr:from>
    <xdr:to>
      <xdr:col>26</xdr:col>
      <xdr:colOff>188233</xdr:colOff>
      <xdr:row>35</xdr:row>
      <xdr:rowOff>60962</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1744" y="7537633"/>
          <a:ext cx="2006146" cy="1460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34290</xdr:colOff>
      <xdr:row>41</xdr:row>
      <xdr:rowOff>28008</xdr:rowOff>
    </xdr:from>
    <xdr:to>
      <xdr:col>3</xdr:col>
      <xdr:colOff>765175</xdr:colOff>
      <xdr:row>46</xdr:row>
      <xdr:rowOff>131931</xdr:rowOff>
    </xdr:to>
    <xdr:pic>
      <xdr:nvPicPr>
        <xdr:cNvPr id="15" name="Picture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42" t="27317" r="6416" b="13171"/>
        <a:stretch/>
      </xdr:blipFill>
      <xdr:spPr>
        <a:xfrm>
          <a:off x="384810" y="7373688"/>
          <a:ext cx="3099435" cy="1018323"/>
        </a:xfrm>
        <a:prstGeom prst="rect">
          <a:avLst/>
        </a:prstGeom>
      </xdr:spPr>
    </xdr:pic>
    <xdr:clientData/>
  </xdr:twoCellAnchor>
  <xdr:twoCellAnchor>
    <xdr:from>
      <xdr:col>3</xdr:col>
      <xdr:colOff>47625</xdr:colOff>
      <xdr:row>10</xdr:row>
      <xdr:rowOff>85725</xdr:rowOff>
    </xdr:from>
    <xdr:to>
      <xdr:col>3</xdr:col>
      <xdr:colOff>504825</xdr:colOff>
      <xdr:row>10</xdr:row>
      <xdr:rowOff>85725</xdr:rowOff>
    </xdr:to>
    <xdr:cxnSp macro="">
      <xdr:nvCxnSpPr>
        <xdr:cNvPr id="16" name="Straight Arrow Connector 15">
          <a:extLst>
            <a:ext uri="{FF2B5EF4-FFF2-40B4-BE49-F238E27FC236}">
              <a16:creationId xmlns:a16="http://schemas.microsoft.com/office/drawing/2014/main" id="{00000000-0008-0000-1400-000010000000}"/>
            </a:ext>
          </a:extLst>
        </xdr:cNvPr>
        <xdr:cNvCxnSpPr/>
      </xdr:nvCxnSpPr>
      <xdr:spPr>
        <a:xfrm>
          <a:off x="2314575" y="1676400"/>
          <a:ext cx="457200" cy="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xdr:col>
      <xdr:colOff>400050</xdr:colOff>
      <xdr:row>24</xdr:row>
      <xdr:rowOff>85726</xdr:rowOff>
    </xdr:from>
    <xdr:to>
      <xdr:col>2</xdr:col>
      <xdr:colOff>400051</xdr:colOff>
      <xdr:row>26</xdr:row>
      <xdr:rowOff>95250</xdr:rowOff>
    </xdr:to>
    <xdr:cxnSp macro="">
      <xdr:nvCxnSpPr>
        <xdr:cNvPr id="17" name="Straight Arrow Connector 16">
          <a:extLst>
            <a:ext uri="{FF2B5EF4-FFF2-40B4-BE49-F238E27FC236}">
              <a16:creationId xmlns:a16="http://schemas.microsoft.com/office/drawing/2014/main" id="{00000000-0008-0000-1400-000011000000}"/>
            </a:ext>
          </a:extLst>
        </xdr:cNvPr>
        <xdr:cNvCxnSpPr/>
      </xdr:nvCxnSpPr>
      <xdr:spPr>
        <a:xfrm flipV="1">
          <a:off x="1952625" y="4343401"/>
          <a:ext cx="1" cy="390524"/>
        </a:xfrm>
        <a:prstGeom prst="straightConnector1">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333375</xdr:colOff>
      <xdr:row>24</xdr:row>
      <xdr:rowOff>66676</xdr:rowOff>
    </xdr:from>
    <xdr:to>
      <xdr:col>4</xdr:col>
      <xdr:colOff>333376</xdr:colOff>
      <xdr:row>26</xdr:row>
      <xdr:rowOff>95250</xdr:rowOff>
    </xdr:to>
    <xdr:cxnSp macro="">
      <xdr:nvCxnSpPr>
        <xdr:cNvPr id="18" name="Straight Arrow Connector 17">
          <a:extLst>
            <a:ext uri="{FF2B5EF4-FFF2-40B4-BE49-F238E27FC236}">
              <a16:creationId xmlns:a16="http://schemas.microsoft.com/office/drawing/2014/main" id="{00000000-0008-0000-1400-000012000000}"/>
            </a:ext>
          </a:extLst>
        </xdr:cNvPr>
        <xdr:cNvCxnSpPr/>
      </xdr:nvCxnSpPr>
      <xdr:spPr>
        <a:xfrm flipV="1">
          <a:off x="3171825" y="4324351"/>
          <a:ext cx="1" cy="409574"/>
        </a:xfrm>
        <a:prstGeom prst="straightConnector1">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10</xdr:col>
      <xdr:colOff>47625</xdr:colOff>
      <xdr:row>10</xdr:row>
      <xdr:rowOff>85725</xdr:rowOff>
    </xdr:from>
    <xdr:to>
      <xdr:col>10</xdr:col>
      <xdr:colOff>504825</xdr:colOff>
      <xdr:row>10</xdr:row>
      <xdr:rowOff>85725</xdr:rowOff>
    </xdr:to>
    <xdr:cxnSp macro="">
      <xdr:nvCxnSpPr>
        <xdr:cNvPr id="24" name="Straight Arrow Connector 23">
          <a:extLst>
            <a:ext uri="{FF2B5EF4-FFF2-40B4-BE49-F238E27FC236}">
              <a16:creationId xmlns:a16="http://schemas.microsoft.com/office/drawing/2014/main" id="{00000000-0008-0000-1400-000018000000}"/>
            </a:ext>
          </a:extLst>
        </xdr:cNvPr>
        <xdr:cNvCxnSpPr/>
      </xdr:nvCxnSpPr>
      <xdr:spPr>
        <a:xfrm>
          <a:off x="2314575" y="1676400"/>
          <a:ext cx="457200" cy="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400050</xdr:colOff>
      <xdr:row>24</xdr:row>
      <xdr:rowOff>85726</xdr:rowOff>
    </xdr:from>
    <xdr:to>
      <xdr:col>9</xdr:col>
      <xdr:colOff>400051</xdr:colOff>
      <xdr:row>26</xdr:row>
      <xdr:rowOff>95250</xdr:rowOff>
    </xdr:to>
    <xdr:cxnSp macro="">
      <xdr:nvCxnSpPr>
        <xdr:cNvPr id="25" name="Straight Arrow Connector 24">
          <a:extLst>
            <a:ext uri="{FF2B5EF4-FFF2-40B4-BE49-F238E27FC236}">
              <a16:creationId xmlns:a16="http://schemas.microsoft.com/office/drawing/2014/main" id="{00000000-0008-0000-1400-000019000000}"/>
            </a:ext>
          </a:extLst>
        </xdr:cNvPr>
        <xdr:cNvCxnSpPr/>
      </xdr:nvCxnSpPr>
      <xdr:spPr>
        <a:xfrm flipV="1">
          <a:off x="1952625" y="4343401"/>
          <a:ext cx="1" cy="390524"/>
        </a:xfrm>
        <a:prstGeom prst="straightConnector1">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11</xdr:col>
      <xdr:colOff>333375</xdr:colOff>
      <xdr:row>24</xdr:row>
      <xdr:rowOff>66676</xdr:rowOff>
    </xdr:from>
    <xdr:to>
      <xdr:col>11</xdr:col>
      <xdr:colOff>333376</xdr:colOff>
      <xdr:row>26</xdr:row>
      <xdr:rowOff>95250</xdr:rowOff>
    </xdr:to>
    <xdr:cxnSp macro="">
      <xdr:nvCxnSpPr>
        <xdr:cNvPr id="26" name="Straight Arrow Connector 25">
          <a:extLst>
            <a:ext uri="{FF2B5EF4-FFF2-40B4-BE49-F238E27FC236}">
              <a16:creationId xmlns:a16="http://schemas.microsoft.com/office/drawing/2014/main" id="{00000000-0008-0000-1400-00001A000000}"/>
            </a:ext>
          </a:extLst>
        </xdr:cNvPr>
        <xdr:cNvCxnSpPr/>
      </xdr:nvCxnSpPr>
      <xdr:spPr>
        <a:xfrm flipV="1">
          <a:off x="3171825" y="4324351"/>
          <a:ext cx="1" cy="409574"/>
        </a:xfrm>
        <a:prstGeom prst="straightConnector1">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7</xdr:col>
      <xdr:colOff>148590</xdr:colOff>
      <xdr:row>41</xdr:row>
      <xdr:rowOff>28008</xdr:rowOff>
    </xdr:from>
    <xdr:ext cx="3067050" cy="1056423"/>
    <xdr:pic>
      <xdr:nvPicPr>
        <xdr:cNvPr id="39" name="Picture 38">
          <a:extLst>
            <a:ext uri="{FF2B5EF4-FFF2-40B4-BE49-F238E27FC236}">
              <a16:creationId xmlns:a16="http://schemas.microsoft.com/office/drawing/2014/main" id="{00000000-0008-0000-1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42" t="27317" r="6416" b="13171"/>
        <a:stretch/>
      </xdr:blipFill>
      <xdr:spPr>
        <a:xfrm>
          <a:off x="4903470" y="7373688"/>
          <a:ext cx="3067050" cy="105642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7</xdr:col>
      <xdr:colOff>0</xdr:colOff>
      <xdr:row>18</xdr:row>
      <xdr:rowOff>114300</xdr:rowOff>
    </xdr:from>
    <xdr:to>
      <xdr:col>16</xdr:col>
      <xdr:colOff>0</xdr:colOff>
      <xdr:row>36</xdr:row>
      <xdr:rowOff>161925</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B%20FactFind%20Compliance%20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s"/>
      <sheetName val="Compliance"/>
      <sheetName val="Funding"/>
      <sheetName val="Servicing"/>
      <sheetName val="Expenses"/>
      <sheetName val="Purpose"/>
      <sheetName val="Goals"/>
      <sheetName val="Advice"/>
      <sheetName val="Commission"/>
      <sheetName val="Settings"/>
    </sheetNames>
    <sheetDataSet>
      <sheetData sheetId="0"/>
      <sheetData sheetId="1"/>
      <sheetData sheetId="2"/>
      <sheetData sheetId="3"/>
      <sheetData sheetId="4"/>
      <sheetData sheetId="5"/>
      <sheetData sheetId="6"/>
      <sheetData sheetId="7"/>
      <sheetData sheetId="8"/>
      <sheetData sheetId="9">
        <row r="29">
          <cell r="Z29" t="str">
            <v>Per Annum</v>
          </cell>
          <cell r="AA29">
            <v>1</v>
          </cell>
        </row>
        <row r="30">
          <cell r="Z30" t="str">
            <v>Per Quarter</v>
          </cell>
          <cell r="AA30">
            <v>4</v>
          </cell>
        </row>
        <row r="31">
          <cell r="Z31" t="str">
            <v>Per Month</v>
          </cell>
          <cell r="AA31">
            <v>12</v>
          </cell>
        </row>
        <row r="32">
          <cell r="Z32" t="str">
            <v>Per 4 Week</v>
          </cell>
          <cell r="AA32">
            <v>13</v>
          </cell>
        </row>
        <row r="33">
          <cell r="Z33" t="str">
            <v>Per F/night</v>
          </cell>
          <cell r="AA33">
            <v>26</v>
          </cell>
        </row>
        <row r="34">
          <cell r="Z34" t="str">
            <v>Per Week</v>
          </cell>
          <cell r="AA34">
            <v>52</v>
          </cell>
        </row>
        <row r="35">
          <cell r="Z35" t="str">
            <v>Per Day</v>
          </cell>
          <cell r="AA35">
            <v>240</v>
          </cell>
        </row>
        <row r="36">
          <cell r="Z36" t="str">
            <v>Per Hour</v>
          </cell>
          <cell r="AA36">
            <v>1920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3.bin"/><Relationship Id="rId1" Type="http://schemas.openxmlformats.org/officeDocument/2006/relationships/hyperlink" Target="https://vowwills.com.au/"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www.whitepages.com.au/" TargetMode="External"/><Relationship Id="rId4" Type="http://schemas.openxmlformats.org/officeDocument/2006/relationships/vmlDrawing" Target="../drawings/vmlDrawing3.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comments" Target="../comments1.xml"/><Relationship Id="rId4" Type="http://schemas.openxmlformats.org/officeDocument/2006/relationships/vmlDrawing" Target="../drawings/vmlDrawing27.v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3.bin"/><Relationship Id="rId1" Type="http://schemas.openxmlformats.org/officeDocument/2006/relationships/hyperlink" Target="http://www.abr.business.gov.au/" TargetMode="Externa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26.bin"/><Relationship Id="rId1" Type="http://schemas.openxmlformats.org/officeDocument/2006/relationships/hyperlink" Target="http://www.abr.business.gov.au/"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printerSettings" Target="../printerSettings/printerSettings3.bin"/><Relationship Id="rId7" Type="http://schemas.openxmlformats.org/officeDocument/2006/relationships/ctrlProp" Target="../ctrlProps/ctrlProp1.xml"/><Relationship Id="rId2" Type="http://schemas.openxmlformats.org/officeDocument/2006/relationships/hyperlink" Target="http://www.googlemaps.com/" TargetMode="External"/><Relationship Id="rId1" Type="http://schemas.openxmlformats.org/officeDocument/2006/relationships/hyperlink" Target="https://rpp.rpdata.com/rpp/login.html" TargetMode="External"/><Relationship Id="rId6" Type="http://schemas.openxmlformats.org/officeDocument/2006/relationships/vmlDrawing" Target="../drawings/vmlDrawing5.vml"/><Relationship Id="rId5" Type="http://schemas.openxmlformats.org/officeDocument/2006/relationships/vmlDrawing" Target="../drawings/vmlDrawing4.vml"/><Relationship Id="rId10" Type="http://schemas.openxmlformats.org/officeDocument/2006/relationships/ctrlProp" Target="../ctrlProps/ctrlProp4.xml"/><Relationship Id="rId4" Type="http://schemas.openxmlformats.org/officeDocument/2006/relationships/drawing" Target="../drawings/drawing2.xml"/><Relationship Id="rId9"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r.ward@premiumbroker.com.au" TargetMode="Externa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4.bin"/><Relationship Id="rId1" Type="http://schemas.openxmlformats.org/officeDocument/2006/relationships/hyperlink" Target="http://www.abr.business.gov.au/" TargetMode="Externa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7.bin"/><Relationship Id="rId1" Type="http://schemas.openxmlformats.org/officeDocument/2006/relationships/hyperlink" Target="https://rpp.rpdata.com/rpp/login.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9.bin"/><Relationship Id="rId1" Type="http://schemas.openxmlformats.org/officeDocument/2006/relationships/hyperlink" Target="https://www.moneysmart.gov.au/tools-and-resources/calculators-and-apps/budget-planner" TargetMode="Externa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A27"/>
  <sheetViews>
    <sheetView showGridLines="0" tabSelected="1" showRuler="0" zoomScaleNormal="100" workbookViewId="0">
      <selection activeCell="T21" sqref="T21:Z21"/>
    </sheetView>
  </sheetViews>
  <sheetFormatPr defaultColWidth="3.5703125" defaultRowHeight="18.75" customHeight="1" x14ac:dyDescent="0.25"/>
  <cols>
    <col min="1" max="14" width="3.5703125" style="21"/>
    <col min="15" max="15" width="4.28515625" style="21" bestFit="1" customWidth="1"/>
    <col min="16" max="16" width="3.5703125" style="21"/>
    <col min="17" max="17" width="3.5703125" style="23"/>
    <col min="18" max="27" width="3.5703125" style="21"/>
    <col min="28" max="28" width="3.5703125" style="106" customWidth="1"/>
    <col min="29" max="29" width="3.5703125" style="129" customWidth="1"/>
    <col min="30" max="31" width="13.85546875" style="129" customWidth="1"/>
    <col min="32" max="32" width="37.140625" style="129" customWidth="1"/>
    <col min="33" max="35" width="3.5703125" style="1084" customWidth="1"/>
    <col min="36" max="36" width="4.28515625" style="1084" customWidth="1"/>
    <col min="37" max="46" width="3.5703125" style="1084" customWidth="1"/>
    <col min="47" max="47" width="4" style="1084" customWidth="1"/>
    <col min="48" max="56" width="3.5703125" style="1084" customWidth="1"/>
    <col min="57" max="57" width="38.5703125" style="1084" customWidth="1"/>
    <col min="58" max="58" width="10.5703125" style="1084" customWidth="1"/>
    <col min="59" max="59" width="3.5703125" style="1084" customWidth="1"/>
    <col min="60" max="60" width="16.28515625" style="94" customWidth="1"/>
    <col min="61" max="71" width="10.5703125" style="94" customWidth="1"/>
    <col min="72" max="74" width="3.5703125" style="94" customWidth="1"/>
    <col min="75" max="86" width="3.5703125" style="94"/>
    <col min="87" max="157" width="3.5703125" style="129"/>
    <col min="158" max="16384" width="3.5703125" style="21"/>
  </cols>
  <sheetData>
    <row r="1" spans="1:157" s="94" customFormat="1" ht="78" customHeight="1" x14ac:dyDescent="0.25">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29"/>
      <c r="AD1" s="129"/>
      <c r="AE1" s="129"/>
      <c r="AF1" s="129"/>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CI1" s="129"/>
      <c r="CJ1" s="129"/>
      <c r="CK1" s="129"/>
      <c r="CL1" s="129"/>
      <c r="CM1" s="129"/>
      <c r="CN1" s="129"/>
      <c r="CO1" s="129"/>
      <c r="CP1" s="129"/>
      <c r="CQ1" s="129"/>
      <c r="CR1" s="129"/>
      <c r="CS1" s="129"/>
      <c r="CT1" s="129"/>
      <c r="CU1" s="129"/>
      <c r="CV1" s="129"/>
      <c r="CW1" s="129"/>
      <c r="CX1" s="129"/>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c r="EX1" s="129"/>
      <c r="EY1" s="129"/>
      <c r="EZ1" s="129"/>
      <c r="FA1" s="129"/>
    </row>
    <row r="2" spans="1:157" s="94" customFormat="1" ht="27" customHeight="1" x14ac:dyDescent="0.5">
      <c r="A2" s="34"/>
      <c r="B2" s="1519" t="s">
        <v>992</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06"/>
      <c r="AC2" s="129"/>
      <c r="AD2" s="129"/>
      <c r="AE2" s="129"/>
      <c r="AF2" s="129"/>
      <c r="AG2" s="1084"/>
      <c r="AH2" s="1084"/>
      <c r="AI2" s="1084"/>
      <c r="AJ2" s="1084"/>
      <c r="AK2" s="1084"/>
      <c r="AL2" s="1084"/>
      <c r="AM2" s="1084"/>
      <c r="AN2" s="1084"/>
      <c r="AO2" s="1084"/>
      <c r="AP2" s="1084"/>
      <c r="AQ2" s="1084"/>
      <c r="AR2" s="1084"/>
      <c r="AS2" s="1084"/>
      <c r="AT2" s="1084"/>
      <c r="AU2" s="1084"/>
      <c r="AV2" s="1084"/>
      <c r="AW2" s="1084"/>
      <c r="AX2" s="1084"/>
      <c r="AY2" s="1084"/>
      <c r="AZ2" s="1084"/>
      <c r="BA2" s="1084"/>
      <c r="BB2" s="1084"/>
      <c r="BC2" s="1084"/>
      <c r="BD2" s="1084"/>
      <c r="BE2" s="1084"/>
      <c r="BF2" s="1084"/>
      <c r="BG2" s="1084"/>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row>
    <row r="3" spans="1:157" s="94" customFormat="1" ht="42" customHeight="1" x14ac:dyDescent="0.25">
      <c r="A3" s="34"/>
      <c r="B3" s="1520" t="s">
        <v>993</v>
      </c>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06"/>
      <c r="AC3" s="129"/>
      <c r="AD3" s="129"/>
      <c r="AE3" s="129"/>
      <c r="AF3" s="129"/>
      <c r="AG3" s="1084"/>
      <c r="AH3" s="1084"/>
      <c r="AI3" s="1084"/>
      <c r="AJ3" s="1084"/>
      <c r="AK3" s="1084"/>
      <c r="AL3" s="1084"/>
      <c r="AM3" s="1084"/>
      <c r="AN3" s="1084"/>
      <c r="AO3" s="1084"/>
      <c r="AP3" s="1084"/>
      <c r="AQ3" s="1084"/>
      <c r="AR3" s="1084"/>
      <c r="AS3" s="1084"/>
      <c r="AT3" s="1084"/>
      <c r="AU3" s="1084"/>
      <c r="AV3" s="1084"/>
      <c r="AW3" s="1084"/>
      <c r="AX3" s="1084"/>
      <c r="AY3" s="1084"/>
      <c r="AZ3" s="1084"/>
      <c r="BA3" s="1084"/>
      <c r="BB3" s="1084"/>
      <c r="BC3" s="1084"/>
      <c r="BD3" s="1084"/>
      <c r="BE3" s="1084"/>
      <c r="BF3" s="1084"/>
      <c r="BG3" s="1084"/>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row>
    <row r="4" spans="1:157" s="94" customFormat="1" ht="18.75" customHeight="1" x14ac:dyDescent="0.25">
      <c r="A4" s="34"/>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106"/>
      <c r="AC4" s="129"/>
      <c r="AD4" s="129"/>
      <c r="AE4" s="129"/>
      <c r="AF4" s="129"/>
      <c r="AG4" s="1084"/>
      <c r="AH4" s="1084"/>
      <c r="AI4" s="1084"/>
      <c r="AJ4" s="1084"/>
      <c r="AK4" s="1084"/>
      <c r="AL4" s="1084"/>
      <c r="AM4" s="1084"/>
      <c r="AN4" s="1084"/>
      <c r="AO4" s="1084"/>
      <c r="AP4" s="1084"/>
      <c r="AQ4" s="1084"/>
      <c r="AR4" s="1084"/>
      <c r="AS4" s="1084"/>
      <c r="AT4" s="1084"/>
      <c r="AU4" s="1084"/>
      <c r="AV4" s="1084"/>
      <c r="AW4" s="1084"/>
      <c r="AX4" s="1084"/>
      <c r="AY4" s="1084"/>
      <c r="AZ4" s="1084"/>
      <c r="BA4" s="1084"/>
      <c r="BB4" s="1084"/>
      <c r="BC4" s="1084"/>
      <c r="BD4" s="1084"/>
      <c r="BE4" s="1084"/>
      <c r="BF4" s="1084"/>
      <c r="BG4" s="1084"/>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c r="EX4" s="129"/>
      <c r="EY4" s="129"/>
      <c r="EZ4" s="129"/>
      <c r="FA4" s="129"/>
    </row>
    <row r="5" spans="1:157" s="94" customFormat="1" ht="18.75" customHeight="1" x14ac:dyDescent="0.25">
      <c r="A5" s="34"/>
      <c r="B5" s="745"/>
      <c r="C5" s="745"/>
      <c r="D5" s="745"/>
      <c r="E5" s="745"/>
      <c r="F5" s="745"/>
      <c r="G5" s="745"/>
      <c r="H5" s="745"/>
      <c r="I5" s="746"/>
      <c r="J5" s="746"/>
      <c r="K5" s="746"/>
      <c r="L5" s="746"/>
      <c r="M5" s="746"/>
      <c r="N5" s="746"/>
      <c r="O5" s="746"/>
      <c r="P5" s="746"/>
      <c r="Q5" s="746"/>
      <c r="R5" s="746"/>
      <c r="S5" s="746"/>
      <c r="T5" s="746"/>
      <c r="U5" s="746"/>
      <c r="V5" s="746"/>
      <c r="W5" s="746"/>
      <c r="X5" s="746"/>
      <c r="Y5" s="746"/>
      <c r="Z5" s="746"/>
      <c r="AA5" s="746"/>
      <c r="AB5" s="106"/>
      <c r="AC5" s="129"/>
      <c r="AD5" s="129"/>
      <c r="AE5" s="129"/>
      <c r="AF5" s="129"/>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1084"/>
      <c r="BC5" s="1084"/>
      <c r="BD5" s="1084"/>
      <c r="BE5" s="1084"/>
      <c r="BF5" s="1084"/>
      <c r="BG5" s="1084"/>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row>
    <row r="6" spans="1:157" ht="18.75" customHeight="1" x14ac:dyDescent="0.25">
      <c r="A6" s="34"/>
      <c r="B6" s="745"/>
      <c r="C6" s="745"/>
      <c r="D6" s="745"/>
      <c r="E6" s="745"/>
      <c r="F6" s="745"/>
      <c r="G6" s="745"/>
      <c r="H6" s="745"/>
      <c r="I6" s="746"/>
      <c r="J6" s="746"/>
      <c r="K6" s="746"/>
      <c r="L6" s="746"/>
      <c r="M6" s="1517" t="s">
        <v>715</v>
      </c>
      <c r="N6" s="1517"/>
      <c r="O6" s="1517"/>
      <c r="P6" s="1517"/>
      <c r="Q6" s="1517"/>
      <c r="R6" s="1517"/>
      <c r="S6" s="1517"/>
      <c r="T6" s="1517"/>
      <c r="U6" s="1517"/>
      <c r="V6" s="1517"/>
      <c r="W6" s="1517"/>
      <c r="X6" s="1517"/>
      <c r="Y6" s="1517"/>
      <c r="Z6" s="1517"/>
      <c r="AA6" s="1517"/>
    </row>
    <row r="7" spans="1:157" ht="18.75" customHeight="1" x14ac:dyDescent="0.25">
      <c r="A7" s="34"/>
      <c r="B7" s="745"/>
      <c r="C7" s="745"/>
      <c r="D7" s="745"/>
      <c r="E7" s="745"/>
      <c r="F7" s="745"/>
      <c r="G7" s="745"/>
      <c r="H7" s="745"/>
      <c r="I7" s="746"/>
      <c r="J7" s="746"/>
      <c r="K7" s="746"/>
      <c r="L7" s="746"/>
      <c r="M7" s="1517" t="s">
        <v>716</v>
      </c>
      <c r="N7" s="1517"/>
      <c r="O7" s="1517"/>
      <c r="P7" s="1517"/>
      <c r="Q7" s="1517"/>
      <c r="R7" s="1517"/>
      <c r="S7" s="1517"/>
      <c r="T7" s="1517"/>
      <c r="U7" s="1517"/>
      <c r="V7" s="1517"/>
      <c r="W7" s="1517"/>
      <c r="X7" s="1517"/>
      <c r="Y7" s="1517"/>
      <c r="Z7" s="1517"/>
      <c r="AA7" s="1517"/>
    </row>
    <row r="8" spans="1:157" ht="18.75" customHeight="1" x14ac:dyDescent="0.25">
      <c r="A8" s="34"/>
      <c r="B8" s="745"/>
      <c r="C8" s="745"/>
      <c r="D8" s="745"/>
      <c r="E8" s="745"/>
      <c r="F8" s="745"/>
      <c r="G8" s="745"/>
      <c r="H8" s="745"/>
      <c r="I8" s="746"/>
      <c r="J8" s="746"/>
      <c r="K8" s="746"/>
      <c r="L8" s="746"/>
      <c r="M8" s="1517" t="s">
        <v>717</v>
      </c>
      <c r="N8" s="1517"/>
      <c r="O8" s="1517"/>
      <c r="P8" s="1517"/>
      <c r="Q8" s="1517"/>
      <c r="R8" s="1517"/>
      <c r="S8" s="1517"/>
      <c r="T8" s="1517"/>
      <c r="U8" s="1517"/>
      <c r="V8" s="1517"/>
      <c r="W8" s="1517"/>
      <c r="X8" s="1517"/>
      <c r="Y8" s="1517"/>
      <c r="Z8" s="1517"/>
      <c r="AA8" s="1517"/>
    </row>
    <row r="9" spans="1:157" ht="18.75" customHeight="1" x14ac:dyDescent="0.25">
      <c r="A9" s="34"/>
      <c r="B9" s="745"/>
      <c r="C9" s="745"/>
      <c r="D9" s="745"/>
      <c r="E9" s="745"/>
      <c r="F9" s="745"/>
      <c r="G9" s="745"/>
      <c r="H9" s="745"/>
      <c r="I9" s="746"/>
      <c r="J9" s="746"/>
      <c r="K9" s="746"/>
      <c r="L9" s="746"/>
      <c r="M9" s="1517"/>
      <c r="N9" s="1517"/>
      <c r="O9" s="1517"/>
      <c r="P9" s="1517"/>
      <c r="Q9" s="1517"/>
      <c r="R9" s="1517"/>
      <c r="S9" s="1517"/>
      <c r="T9" s="1517"/>
      <c r="U9" s="1517"/>
      <c r="V9" s="1517"/>
      <c r="W9" s="1517"/>
      <c r="X9" s="1517"/>
      <c r="Y9" s="1517"/>
      <c r="Z9" s="1517"/>
      <c r="AA9" s="1517"/>
    </row>
    <row r="10" spans="1:157" ht="18.75" customHeight="1" x14ac:dyDescent="0.25">
      <c r="A10" s="34"/>
      <c r="B10" s="745"/>
      <c r="C10" s="745"/>
      <c r="D10" s="745"/>
      <c r="E10" s="745"/>
      <c r="F10" s="745"/>
      <c r="G10" s="745"/>
      <c r="H10" s="745"/>
      <c r="I10" s="746"/>
      <c r="J10" s="746"/>
      <c r="K10" s="746"/>
      <c r="L10" s="746"/>
      <c r="M10" s="1517" t="s">
        <v>718</v>
      </c>
      <c r="N10" s="1517"/>
      <c r="O10" s="1517"/>
      <c r="P10" s="1517"/>
      <c r="Q10" s="1517"/>
      <c r="R10" s="1517"/>
      <c r="S10" s="1517"/>
      <c r="T10" s="1517"/>
      <c r="U10" s="1517"/>
      <c r="V10" s="1517"/>
      <c r="W10" s="1517"/>
      <c r="X10" s="1517"/>
      <c r="Y10" s="1517"/>
      <c r="Z10" s="1517"/>
      <c r="AA10" s="1517"/>
    </row>
    <row r="11" spans="1:157" ht="18.75" customHeight="1" x14ac:dyDescent="0.25">
      <c r="A11" s="34"/>
      <c r="B11" s="745"/>
      <c r="C11" s="745"/>
      <c r="D11" s="745"/>
      <c r="E11" s="745"/>
      <c r="F11" s="745"/>
      <c r="G11" s="745"/>
      <c r="H11" s="745"/>
      <c r="I11" s="746"/>
      <c r="J11" s="746"/>
      <c r="K11" s="746"/>
      <c r="L11" s="746"/>
      <c r="M11" s="1517" t="s">
        <v>719</v>
      </c>
      <c r="N11" s="1517"/>
      <c r="O11" s="1517"/>
      <c r="P11" s="1517"/>
      <c r="Q11" s="1517"/>
      <c r="R11" s="1517"/>
      <c r="S11" s="1517"/>
      <c r="T11" s="1517"/>
      <c r="U11" s="1517"/>
      <c r="V11" s="1517"/>
      <c r="W11" s="1517"/>
      <c r="X11" s="1517"/>
      <c r="Y11" s="1517"/>
      <c r="Z11" s="1517"/>
      <c r="AA11" s="1517"/>
    </row>
    <row r="12" spans="1:157" ht="18.75" customHeight="1" x14ac:dyDescent="0.25">
      <c r="A12" s="34"/>
      <c r="B12" s="745"/>
      <c r="C12" s="745"/>
      <c r="D12" s="745"/>
      <c r="E12" s="745"/>
      <c r="F12" s="745"/>
      <c r="G12" s="745"/>
      <c r="H12" s="745"/>
      <c r="I12" s="746"/>
      <c r="J12" s="746"/>
      <c r="K12" s="746"/>
      <c r="L12" s="746"/>
      <c r="M12" s="1517"/>
      <c r="N12" s="1517"/>
      <c r="O12" s="1517"/>
      <c r="P12" s="1517"/>
      <c r="Q12" s="1517"/>
      <c r="R12" s="1517"/>
      <c r="S12" s="1517"/>
      <c r="T12" s="1517"/>
      <c r="U12" s="1517"/>
      <c r="V12" s="1517"/>
      <c r="W12" s="1517"/>
      <c r="X12" s="1517"/>
      <c r="Y12" s="1517"/>
      <c r="Z12" s="1517"/>
      <c r="AA12" s="1517"/>
    </row>
    <row r="13" spans="1:157" ht="18.75" customHeight="1" x14ac:dyDescent="0.25">
      <c r="A13" s="34"/>
      <c r="B13" s="745"/>
      <c r="C13" s="745"/>
      <c r="D13" s="745"/>
      <c r="E13" s="745"/>
      <c r="F13" s="745"/>
      <c r="G13" s="745"/>
      <c r="H13" s="745"/>
      <c r="I13" s="746"/>
      <c r="J13" s="746"/>
      <c r="K13" s="746"/>
      <c r="L13" s="746"/>
      <c r="M13" s="1517" t="s">
        <v>720</v>
      </c>
      <c r="N13" s="1517"/>
      <c r="O13" s="1517"/>
      <c r="P13" s="1517"/>
      <c r="Q13" s="1517"/>
      <c r="R13" s="1517"/>
      <c r="S13" s="1517"/>
      <c r="T13" s="1517"/>
      <c r="U13" s="1517"/>
      <c r="V13" s="1517"/>
      <c r="W13" s="1517"/>
      <c r="X13" s="1517"/>
      <c r="Y13" s="1517"/>
      <c r="Z13" s="1517"/>
      <c r="AA13" s="1517"/>
    </row>
    <row r="14" spans="1:157" ht="18.75" customHeight="1" x14ac:dyDescent="0.25">
      <c r="A14" s="34"/>
      <c r="B14" s="745"/>
      <c r="C14" s="745"/>
      <c r="D14" s="745"/>
      <c r="E14" s="745"/>
      <c r="F14" s="745"/>
      <c r="G14" s="745"/>
      <c r="H14" s="745"/>
      <c r="I14" s="632"/>
      <c r="J14" s="632"/>
      <c r="K14" s="632"/>
      <c r="L14" s="632"/>
      <c r="M14" s="1517" t="s">
        <v>727</v>
      </c>
      <c r="N14" s="1517"/>
      <c r="O14" s="1517"/>
      <c r="P14" s="1517"/>
      <c r="Q14" s="1517"/>
      <c r="R14" s="1517"/>
      <c r="S14" s="1517"/>
      <c r="T14" s="1517"/>
      <c r="U14" s="1517"/>
      <c r="V14" s="1517"/>
      <c r="W14" s="1517"/>
      <c r="X14" s="1517"/>
      <c r="Y14" s="1517"/>
      <c r="Z14" s="1517"/>
      <c r="AA14" s="1517"/>
    </row>
    <row r="15" spans="1:157" ht="18.75" customHeight="1" x14ac:dyDescent="0.25">
      <c r="A15" s="34"/>
      <c r="B15" s="745"/>
      <c r="C15" s="745"/>
      <c r="D15" s="745"/>
      <c r="E15" s="745"/>
      <c r="F15" s="745"/>
      <c r="G15" s="745"/>
      <c r="H15" s="745"/>
      <c r="I15" s="632"/>
      <c r="J15" s="632"/>
      <c r="K15" s="632"/>
      <c r="L15" s="632"/>
      <c r="M15" s="1517" t="s">
        <v>721</v>
      </c>
      <c r="N15" s="1517"/>
      <c r="O15" s="1517"/>
      <c r="P15" s="1517"/>
      <c r="Q15" s="1517"/>
      <c r="R15" s="1517"/>
      <c r="S15" s="1517"/>
      <c r="T15" s="1517"/>
      <c r="U15" s="1517"/>
      <c r="V15" s="1517"/>
      <c r="W15" s="1517"/>
      <c r="X15" s="1517"/>
      <c r="Y15" s="1517"/>
      <c r="Z15" s="1517"/>
      <c r="AA15" s="1517"/>
    </row>
    <row r="16" spans="1:157" ht="18.75" customHeight="1" x14ac:dyDescent="0.25">
      <c r="A16" s="34"/>
      <c r="B16" s="745"/>
      <c r="C16" s="745"/>
      <c r="D16" s="745"/>
      <c r="E16" s="745"/>
      <c r="F16" s="745"/>
      <c r="G16" s="745"/>
      <c r="H16" s="745"/>
      <c r="I16" s="632"/>
      <c r="J16" s="632"/>
      <c r="K16" s="632"/>
      <c r="L16" s="632"/>
      <c r="M16" s="1517" t="s">
        <v>722</v>
      </c>
      <c r="N16" s="1517"/>
      <c r="O16" s="1517"/>
      <c r="P16" s="1517"/>
      <c r="Q16" s="1517"/>
      <c r="R16" s="1517"/>
      <c r="S16" s="1517"/>
      <c r="T16" s="1517"/>
      <c r="U16" s="1517"/>
      <c r="V16" s="1517"/>
      <c r="W16" s="1517"/>
      <c r="X16" s="1517"/>
      <c r="Y16" s="1517"/>
      <c r="Z16" s="1517"/>
      <c r="AA16" s="1517"/>
    </row>
    <row r="17" spans="1:157" ht="38.25" thickBot="1" x14ac:dyDescent="0.3">
      <c r="A17" s="34"/>
      <c r="B17" s="1518" t="s">
        <v>92</v>
      </c>
      <c r="C17" s="151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632"/>
    </row>
    <row r="18" spans="1:157" ht="31.5" x14ac:dyDescent="0.25">
      <c r="A18" s="34"/>
      <c r="B18" s="745"/>
      <c r="C18" s="745"/>
      <c r="D18" s="745"/>
      <c r="E18" s="745"/>
      <c r="F18" s="745"/>
      <c r="G18" s="745"/>
      <c r="H18" s="745"/>
      <c r="I18" s="632"/>
      <c r="J18" s="632"/>
      <c r="K18" s="632"/>
      <c r="L18" s="632"/>
      <c r="M18" s="1513" t="str">
        <f>+Profile!BE5</f>
        <v xml:space="preserve"> </v>
      </c>
      <c r="N18" s="1513">
        <f>+Profile!I3</f>
        <v>0</v>
      </c>
      <c r="O18" s="1513"/>
      <c r="P18" s="1513"/>
      <c r="Q18" s="1513"/>
      <c r="R18" s="1513"/>
      <c r="S18" s="1513"/>
      <c r="T18" s="1513"/>
      <c r="U18" s="1513"/>
      <c r="V18" s="1513"/>
      <c r="W18" s="1513"/>
      <c r="X18" s="1513"/>
      <c r="Y18" s="1513"/>
      <c r="Z18" s="1513"/>
      <c r="AA18" s="1513"/>
    </row>
    <row r="19" spans="1:157" ht="31.5" x14ac:dyDescent="0.25">
      <c r="A19" s="34"/>
      <c r="B19" s="745"/>
      <c r="C19" s="745"/>
      <c r="D19" s="745"/>
      <c r="E19" s="745"/>
      <c r="F19" s="745"/>
      <c r="G19" s="745"/>
      <c r="H19" s="745"/>
      <c r="I19" s="632"/>
      <c r="J19" s="632"/>
      <c r="K19" s="632"/>
      <c r="L19" s="632"/>
      <c r="M19" s="1513" t="str">
        <f>+Profile!BF5</f>
        <v/>
      </c>
      <c r="N19" s="1513">
        <f>+Profile!T3</f>
        <v>0</v>
      </c>
      <c r="O19" s="1513"/>
      <c r="P19" s="1513"/>
      <c r="Q19" s="1513"/>
      <c r="R19" s="1513"/>
      <c r="S19" s="1513"/>
      <c r="T19" s="1513"/>
      <c r="U19" s="1513"/>
      <c r="V19" s="1513"/>
      <c r="W19" s="1513"/>
      <c r="X19" s="1513"/>
      <c r="Y19" s="1513"/>
      <c r="Z19" s="1513"/>
      <c r="AA19" s="1513"/>
    </row>
    <row r="20" spans="1:157" ht="18.75" customHeight="1" x14ac:dyDescent="0.25">
      <c r="A20" s="34"/>
      <c r="B20" s="745"/>
      <c r="C20" s="745"/>
      <c r="D20" s="745"/>
      <c r="E20" s="745"/>
      <c r="F20" s="745"/>
      <c r="G20" s="745"/>
      <c r="H20" s="745"/>
      <c r="I20" s="632"/>
      <c r="J20" s="632"/>
      <c r="K20" s="632"/>
      <c r="L20" s="632"/>
      <c r="M20" s="632"/>
      <c r="N20" s="749"/>
      <c r="O20" s="749"/>
      <c r="P20" s="749"/>
      <c r="Q20" s="749"/>
      <c r="R20" s="749"/>
      <c r="S20" s="749"/>
      <c r="T20" s="749"/>
      <c r="U20" s="749"/>
      <c r="V20" s="749"/>
      <c r="W20" s="749"/>
      <c r="X20" s="749"/>
      <c r="Y20" s="749"/>
      <c r="Z20" s="749"/>
      <c r="AA20" s="632"/>
    </row>
    <row r="21" spans="1:157" ht="38.25" thickBot="1" x14ac:dyDescent="0.4">
      <c r="A21" s="34"/>
      <c r="B21" s="1514" t="s">
        <v>1329</v>
      </c>
      <c r="C21" s="1514"/>
      <c r="D21" s="1514"/>
      <c r="E21" s="1514"/>
      <c r="F21" s="1514"/>
      <c r="G21" s="1514"/>
      <c r="H21" s="1514"/>
      <c r="I21" s="1514"/>
      <c r="J21" s="1514"/>
      <c r="K21" s="1514"/>
      <c r="L21" s="1514"/>
      <c r="M21" s="1514"/>
      <c r="N21" s="1514"/>
      <c r="O21" s="1514"/>
      <c r="P21" s="862"/>
      <c r="Q21" s="1515" t="s">
        <v>788</v>
      </c>
      <c r="R21" s="1515"/>
      <c r="S21" s="1515"/>
      <c r="T21" s="1516" t="s">
        <v>789</v>
      </c>
      <c r="U21" s="1516"/>
      <c r="V21" s="1516"/>
      <c r="W21" s="1516"/>
      <c r="X21" s="1516"/>
      <c r="Y21" s="1516"/>
      <c r="Z21" s="1516"/>
      <c r="AA21" s="29"/>
    </row>
    <row r="22" spans="1:157" ht="18.75" customHeight="1" x14ac:dyDescent="0.25">
      <c r="A22" s="34"/>
      <c r="B22" s="34"/>
      <c r="C22" s="34"/>
      <c r="D22" s="34"/>
      <c r="E22" s="34"/>
      <c r="F22" s="34"/>
      <c r="G22" s="34"/>
      <c r="H22" s="34"/>
      <c r="I22" s="43"/>
      <c r="J22" s="43"/>
      <c r="K22" s="43"/>
      <c r="L22" s="43"/>
      <c r="M22" s="43"/>
      <c r="N22" s="43"/>
      <c r="O22" s="43"/>
      <c r="P22" s="43"/>
      <c r="Q22" s="42"/>
      <c r="R22" s="43"/>
      <c r="S22" s="43"/>
      <c r="T22" s="43"/>
      <c r="U22" s="43"/>
      <c r="V22" s="43"/>
      <c r="W22" s="43"/>
      <c r="X22" s="43"/>
      <c r="Y22" s="43"/>
      <c r="Z22" s="43"/>
      <c r="AA22" s="43"/>
    </row>
    <row r="23" spans="1:157" ht="18.75" customHeight="1" x14ac:dyDescent="0.25">
      <c r="A23" s="34"/>
      <c r="B23" s="34"/>
      <c r="C23" s="34"/>
      <c r="D23" s="34"/>
      <c r="E23" s="34"/>
      <c r="F23" s="34"/>
      <c r="G23" s="34"/>
      <c r="H23" s="34"/>
      <c r="I23" s="43"/>
      <c r="J23" s="43"/>
      <c r="K23" s="43"/>
      <c r="L23" s="43"/>
      <c r="M23" s="43"/>
      <c r="N23" s="43"/>
      <c r="O23" s="43"/>
      <c r="P23" s="43"/>
      <c r="Q23" s="42"/>
      <c r="R23" s="43"/>
      <c r="S23" s="43"/>
      <c r="T23" s="43"/>
      <c r="U23" s="43"/>
      <c r="V23" s="43"/>
      <c r="W23" s="43"/>
      <c r="X23" s="43"/>
      <c r="Y23" s="43"/>
      <c r="Z23" s="43"/>
      <c r="AA23" s="43"/>
    </row>
    <row r="24" spans="1:157" ht="18.75" customHeight="1" thickBot="1" x14ac:dyDescent="0.3">
      <c r="A24" s="34"/>
      <c r="B24" s="34"/>
      <c r="C24" s="34"/>
      <c r="D24" s="34"/>
      <c r="E24" s="34"/>
      <c r="F24" s="34"/>
      <c r="G24" s="34"/>
      <c r="H24" s="35"/>
      <c r="I24" s="43"/>
      <c r="J24" s="43"/>
      <c r="K24" s="43"/>
      <c r="L24" s="43"/>
      <c r="M24" s="43"/>
      <c r="N24" s="43"/>
      <c r="O24" s="43"/>
      <c r="P24" s="43"/>
      <c r="Q24" s="42"/>
      <c r="R24" s="43"/>
      <c r="S24" s="43"/>
      <c r="T24" s="43"/>
      <c r="U24" s="43"/>
      <c r="V24" s="43"/>
      <c r="W24" s="43"/>
      <c r="X24" s="43"/>
      <c r="Y24" s="43"/>
      <c r="Z24" s="43"/>
      <c r="AA24" s="43"/>
    </row>
    <row r="25" spans="1:157" ht="18.75" customHeight="1" x14ac:dyDescent="0.25">
      <c r="A25" s="103"/>
      <c r="B25" s="34"/>
      <c r="C25" s="34"/>
      <c r="D25" s="34"/>
      <c r="E25" s="34"/>
      <c r="F25" s="34"/>
      <c r="G25" s="34"/>
      <c r="H25" s="103"/>
      <c r="I25" s="103"/>
      <c r="J25" s="103"/>
      <c r="K25" s="103"/>
      <c r="L25" s="103"/>
      <c r="M25" s="103"/>
      <c r="N25" s="103"/>
      <c r="O25" s="103">
        <v>1</v>
      </c>
      <c r="P25" s="103"/>
      <c r="Q25" s="103"/>
      <c r="R25" s="103"/>
      <c r="S25" s="103"/>
      <c r="T25" s="103"/>
      <c r="U25" s="103"/>
      <c r="V25" s="103"/>
      <c r="W25" s="103"/>
      <c r="X25" s="103"/>
      <c r="Y25" s="103"/>
      <c r="Z25" s="103"/>
      <c r="AA25" s="103"/>
    </row>
    <row r="26" spans="1:157" ht="69.599999999999994" customHeight="1" x14ac:dyDescent="0.25">
      <c r="A26" s="29"/>
      <c r="B26" s="29"/>
      <c r="C26" s="29"/>
      <c r="D26" s="29"/>
      <c r="E26" s="29"/>
      <c r="F26" s="29"/>
      <c r="G26" s="29"/>
      <c r="H26" s="29"/>
      <c r="I26" s="29"/>
      <c r="J26" s="29"/>
      <c r="K26" s="29"/>
      <c r="L26" s="29"/>
      <c r="M26" s="29"/>
      <c r="N26" s="29"/>
      <c r="O26" s="29">
        <v>1</v>
      </c>
      <c r="P26" s="29"/>
      <c r="Q26" s="32"/>
      <c r="R26" s="29"/>
      <c r="S26" s="29"/>
      <c r="T26" s="29"/>
      <c r="U26" s="29"/>
      <c r="V26" s="29"/>
      <c r="W26" s="29"/>
      <c r="X26" s="29"/>
      <c r="Y26" s="29"/>
      <c r="Z26" s="29"/>
      <c r="AA26" s="29"/>
    </row>
    <row r="27" spans="1:157" s="1328" customFormat="1" ht="15" x14ac:dyDescent="0.25">
      <c r="A27" s="1323"/>
      <c r="B27" s="1329" t="s">
        <v>1328</v>
      </c>
      <c r="C27" s="1323"/>
      <c r="D27" s="1323"/>
      <c r="E27" s="1323"/>
      <c r="F27" s="1323"/>
      <c r="G27" s="1323"/>
      <c r="H27" s="1323"/>
      <c r="I27" s="1323"/>
      <c r="J27" s="1323"/>
      <c r="K27" s="1323"/>
      <c r="L27" s="1323"/>
      <c r="M27" s="1323"/>
      <c r="N27" s="1323"/>
      <c r="O27" s="1323"/>
      <c r="P27" s="1323"/>
      <c r="Q27" s="1323"/>
      <c r="R27" s="1323"/>
      <c r="S27" s="1323"/>
      <c r="T27" s="1323"/>
      <c r="U27" s="1323"/>
      <c r="V27" s="1323"/>
      <c r="W27" s="1323"/>
      <c r="X27" s="1323"/>
      <c r="Y27" s="1323"/>
      <c r="Z27" s="1323"/>
      <c r="AA27" s="1323"/>
      <c r="AB27" s="1324"/>
      <c r="AC27" s="1325"/>
      <c r="AD27" s="1325"/>
      <c r="AE27" s="1325"/>
      <c r="AF27" s="1325"/>
      <c r="AG27" s="1326"/>
      <c r="AH27" s="1326"/>
      <c r="AI27" s="1326"/>
      <c r="AJ27" s="1326"/>
      <c r="AK27" s="1326"/>
      <c r="AL27" s="1326"/>
      <c r="AM27" s="1326"/>
      <c r="AN27" s="1326"/>
      <c r="AO27" s="1326"/>
      <c r="AP27" s="1326"/>
      <c r="AQ27" s="1326"/>
      <c r="AR27" s="1326"/>
      <c r="AS27" s="1326"/>
      <c r="AT27" s="1326"/>
      <c r="AU27" s="1326"/>
      <c r="AV27" s="1326"/>
      <c r="AW27" s="1326"/>
      <c r="AX27" s="1326"/>
      <c r="AY27" s="1326"/>
      <c r="AZ27" s="1326"/>
      <c r="BA27" s="1326"/>
      <c r="BB27" s="1326"/>
      <c r="BC27" s="1326"/>
      <c r="BD27" s="1326"/>
      <c r="BE27" s="1326"/>
      <c r="BF27" s="1326"/>
      <c r="BG27" s="1326"/>
      <c r="BH27" s="1327"/>
      <c r="BI27" s="1327"/>
      <c r="BJ27" s="1327"/>
      <c r="BK27" s="1327"/>
      <c r="BL27" s="1327"/>
      <c r="BM27" s="1327"/>
      <c r="BN27" s="1327"/>
      <c r="BO27" s="1327"/>
      <c r="BP27" s="1327"/>
      <c r="BQ27" s="1327"/>
      <c r="BR27" s="1327"/>
      <c r="BS27" s="1327"/>
      <c r="BT27" s="1327"/>
      <c r="BU27" s="1327"/>
      <c r="BV27" s="1327"/>
      <c r="BW27" s="1327"/>
      <c r="BX27" s="1327"/>
      <c r="BY27" s="1327"/>
      <c r="BZ27" s="1327"/>
      <c r="CA27" s="1327"/>
      <c r="CB27" s="1327"/>
      <c r="CC27" s="1327"/>
      <c r="CD27" s="1327"/>
      <c r="CE27" s="1327"/>
      <c r="CF27" s="1327"/>
      <c r="CG27" s="1327"/>
      <c r="CH27" s="1327"/>
      <c r="CI27" s="1325"/>
      <c r="CJ27" s="1325"/>
      <c r="CK27" s="1325"/>
      <c r="CL27" s="1325"/>
      <c r="CM27" s="1325"/>
      <c r="CN27" s="1325"/>
      <c r="CO27" s="1325"/>
      <c r="CP27" s="1325"/>
      <c r="CQ27" s="1325"/>
      <c r="CR27" s="1325"/>
      <c r="CS27" s="1325"/>
      <c r="CT27" s="1325"/>
      <c r="CU27" s="1325"/>
      <c r="CV27" s="1325"/>
      <c r="CW27" s="1325"/>
      <c r="CX27" s="1325"/>
      <c r="CY27" s="1325"/>
      <c r="CZ27" s="1325"/>
      <c r="DA27" s="1325"/>
      <c r="DB27" s="1325"/>
      <c r="DC27" s="1325"/>
      <c r="DD27" s="1325"/>
      <c r="DE27" s="1325"/>
      <c r="DF27" s="1325"/>
      <c r="DG27" s="1325"/>
      <c r="DH27" s="1325"/>
      <c r="DI27" s="1325"/>
      <c r="DJ27" s="1325"/>
      <c r="DK27" s="1325"/>
      <c r="DL27" s="1325"/>
      <c r="DM27" s="1325"/>
      <c r="DN27" s="1325"/>
      <c r="DO27" s="1325"/>
      <c r="DP27" s="1325"/>
      <c r="DQ27" s="1325"/>
      <c r="DR27" s="1325"/>
      <c r="DS27" s="1325"/>
      <c r="DT27" s="1325"/>
      <c r="DU27" s="1325"/>
      <c r="DV27" s="1325"/>
      <c r="DW27" s="1325"/>
      <c r="DX27" s="1325"/>
      <c r="DY27" s="1325"/>
      <c r="DZ27" s="1325"/>
      <c r="EA27" s="1325"/>
      <c r="EB27" s="1325"/>
      <c r="EC27" s="1325"/>
      <c r="ED27" s="1325"/>
      <c r="EE27" s="1325"/>
      <c r="EF27" s="1325"/>
      <c r="EG27" s="1325"/>
      <c r="EH27" s="1325"/>
      <c r="EI27" s="1325"/>
      <c r="EJ27" s="1325"/>
      <c r="EK27" s="1325"/>
      <c r="EL27" s="1325"/>
      <c r="EM27" s="1325"/>
      <c r="EN27" s="1325"/>
      <c r="EO27" s="1325"/>
      <c r="EP27" s="1325"/>
      <c r="EQ27" s="1325"/>
      <c r="ER27" s="1325"/>
      <c r="ES27" s="1325"/>
      <c r="ET27" s="1325"/>
      <c r="EU27" s="1325"/>
      <c r="EV27" s="1325"/>
      <c r="EW27" s="1325"/>
      <c r="EX27" s="1325"/>
      <c r="EY27" s="1325"/>
      <c r="EZ27" s="1325"/>
      <c r="FA27" s="1325"/>
    </row>
  </sheetData>
  <mergeCells count="19">
    <mergeCell ref="B2:AA2"/>
    <mergeCell ref="B3:AA3"/>
    <mergeCell ref="M6:AA6"/>
    <mergeCell ref="M7:AA7"/>
    <mergeCell ref="M8:AA8"/>
    <mergeCell ref="M19:AA19"/>
    <mergeCell ref="B21:O21"/>
    <mergeCell ref="Q21:S21"/>
    <mergeCell ref="T21:Z21"/>
    <mergeCell ref="M9:AA9"/>
    <mergeCell ref="M10:AA10"/>
    <mergeCell ref="M11:AA11"/>
    <mergeCell ref="M12:AA12"/>
    <mergeCell ref="M13:AA13"/>
    <mergeCell ref="M16:AA16"/>
    <mergeCell ref="B17:Z17"/>
    <mergeCell ref="M18:AA18"/>
    <mergeCell ref="M15:AA15"/>
    <mergeCell ref="M14:AA14"/>
  </mergeCells>
  <printOptions horizontalCentered="1" verticalCentered="1"/>
  <pageMargins left="0.23622047244094491" right="3.937007874015748E-2" top="0.74803149606299213" bottom="0.74803149606299213" header="0.31496062992125984" footer="0.31496062992125984"/>
  <pageSetup paperSize="9" orientation="portrait" r:id="rId1"/>
  <headerFooter alignWithMargins="0">
    <oddHeader>&amp;C&amp;G</oddHeader>
    <oddFooter>&amp;R&amp;G</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Settings!$AH$14:$AH$35</xm:f>
          </x14:formula1>
          <xm:sqref>T21:Z21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V383"/>
  <sheetViews>
    <sheetView showGridLines="0" zoomScaleNormal="100" workbookViewId="0">
      <selection activeCell="P9" sqref="P9:R9"/>
    </sheetView>
  </sheetViews>
  <sheetFormatPr defaultColWidth="3.5703125" defaultRowHeight="15" x14ac:dyDescent="0.25"/>
  <cols>
    <col min="1" max="1" width="3.5703125" style="29" customWidth="1"/>
    <col min="2" max="26" width="3.5703125" style="29"/>
    <col min="27" max="27" width="11.5703125" style="29" customWidth="1"/>
    <col min="28" max="28" width="3.5703125" style="29"/>
    <col min="29" max="29" width="16.28515625" style="29" customWidth="1"/>
    <col min="30" max="30" width="8.42578125" style="29" customWidth="1"/>
    <col min="31" max="31" width="3.5703125" style="29"/>
    <col min="32" max="34" width="11.140625" style="29" customWidth="1"/>
    <col min="35" max="35" width="3.5703125" style="29"/>
    <col min="36" max="36" width="11.140625" style="29" customWidth="1"/>
    <col min="37" max="89" width="3.5703125" style="29"/>
    <col min="90" max="90" width="14.28515625" style="29" customWidth="1"/>
    <col min="91" max="91" width="9.7109375" style="29" customWidth="1"/>
    <col min="92" max="92" width="3.5703125" style="29"/>
    <col min="93" max="94" width="8.7109375" style="29" customWidth="1"/>
    <col min="95" max="95" width="8.5703125" style="29" customWidth="1"/>
    <col min="96" max="16384" width="3.5703125" style="29"/>
  </cols>
  <sheetData>
    <row r="1" spans="1:37" ht="48" customHeight="1" x14ac:dyDescent="0.25">
      <c r="A1" s="1897" t="s">
        <v>1414</v>
      </c>
      <c r="B1" s="1897"/>
      <c r="C1" s="1897"/>
      <c r="D1" s="1897"/>
      <c r="E1" s="1897"/>
      <c r="F1" s="1897"/>
      <c r="G1" s="1897"/>
      <c r="H1" s="1897"/>
      <c r="I1" s="1897"/>
      <c r="J1" s="1897"/>
      <c r="K1" s="1897"/>
      <c r="L1" s="1897"/>
      <c r="M1" s="1897"/>
      <c r="N1" s="1897"/>
      <c r="O1" s="1966"/>
      <c r="P1" s="1966"/>
      <c r="Q1" s="1966"/>
      <c r="R1" s="1966"/>
      <c r="S1" s="1966"/>
      <c r="T1" s="1966"/>
      <c r="U1" s="1966"/>
      <c r="V1" s="1966"/>
      <c r="W1" s="1966"/>
      <c r="X1" s="1966"/>
    </row>
    <row r="2" spans="1:37" ht="6"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row>
    <row r="3" spans="1:37" ht="15.6" customHeight="1" x14ac:dyDescent="0.25">
      <c r="A3" s="1724" t="s">
        <v>669</v>
      </c>
      <c r="B3" s="1724"/>
      <c r="C3" s="1724"/>
      <c r="D3" s="1724"/>
      <c r="E3" s="1724"/>
      <c r="F3" s="1724"/>
      <c r="G3" s="1724"/>
      <c r="H3" s="1726" t="str">
        <f>+Profile!BE8</f>
        <v xml:space="preserve"> </v>
      </c>
      <c r="I3" s="1726"/>
      <c r="J3" s="1726"/>
      <c r="K3" s="1726"/>
      <c r="L3" s="1726"/>
      <c r="M3" s="1726"/>
      <c r="N3" s="1726"/>
      <c r="O3" s="1726"/>
      <c r="P3" s="1726"/>
      <c r="Q3" s="691"/>
      <c r="R3" s="691"/>
      <c r="S3" s="691"/>
      <c r="T3" s="691"/>
      <c r="U3" s="691"/>
      <c r="V3" s="691"/>
      <c r="W3" s="691"/>
      <c r="X3" s="1379"/>
    </row>
    <row r="4" spans="1:37" ht="6" customHeight="1" thickBot="1" x14ac:dyDescent="0.3">
      <c r="A4" s="1378"/>
      <c r="B4" s="1378"/>
      <c r="C4" s="1378"/>
      <c r="D4" s="1378"/>
      <c r="E4" s="1378"/>
      <c r="F4" s="1378"/>
      <c r="G4" s="1378"/>
      <c r="H4" s="1379"/>
      <c r="I4" s="1379"/>
      <c r="J4" s="1379"/>
      <c r="K4" s="1379"/>
      <c r="L4" s="1379"/>
      <c r="M4" s="1379"/>
      <c r="N4" s="1379"/>
      <c r="O4" s="1379"/>
      <c r="P4" s="1379"/>
      <c r="Q4" s="691"/>
      <c r="R4" s="691"/>
      <c r="S4" s="691"/>
      <c r="T4" s="691"/>
      <c r="U4" s="691"/>
      <c r="V4" s="691"/>
      <c r="W4" s="691"/>
      <c r="X4" s="1379"/>
    </row>
    <row r="5" spans="1:37" ht="12" customHeight="1" thickBot="1" x14ac:dyDescent="0.3">
      <c r="A5" s="1629"/>
      <c r="B5" s="1629"/>
      <c r="C5" s="1629"/>
      <c r="D5" s="1629"/>
      <c r="E5" s="1629"/>
      <c r="F5" s="1629"/>
      <c r="G5" s="506"/>
      <c r="H5" s="506"/>
      <c r="I5" s="506"/>
      <c r="J5" s="519"/>
      <c r="K5" s="519"/>
      <c r="L5" s="1635"/>
      <c r="M5" s="1635"/>
      <c r="N5" s="1635"/>
      <c r="O5" s="506"/>
      <c r="P5" s="506"/>
      <c r="Q5" s="506"/>
      <c r="R5" s="506"/>
      <c r="S5" s="519"/>
      <c r="T5" s="519"/>
      <c r="U5" s="1635"/>
      <c r="V5" s="1635"/>
      <c r="W5" s="1635"/>
      <c r="X5" s="520"/>
    </row>
    <row r="6" spans="1:37" ht="15.6" customHeight="1" x14ac:dyDescent="0.25">
      <c r="A6" s="1940" t="s">
        <v>1425</v>
      </c>
      <c r="B6" s="1941"/>
      <c r="C6" s="1941"/>
      <c r="D6" s="1941"/>
      <c r="E6" s="1941"/>
      <c r="F6" s="1941"/>
      <c r="G6" s="1387"/>
      <c r="H6" s="1967"/>
      <c r="I6" s="1968"/>
      <c r="J6" s="1969"/>
      <c r="K6" s="1967"/>
      <c r="L6" s="1968"/>
      <c r="M6" s="1968"/>
      <c r="N6" s="1968"/>
      <c r="O6" s="1380"/>
      <c r="P6" s="1953" t="s">
        <v>362</v>
      </c>
      <c r="Q6" s="1953"/>
      <c r="R6" s="1953"/>
      <c r="S6" s="1953" t="s">
        <v>361</v>
      </c>
      <c r="T6" s="1953"/>
      <c r="U6" s="1953"/>
      <c r="V6" s="1953" t="s">
        <v>24</v>
      </c>
      <c r="W6" s="1953"/>
      <c r="X6" s="1953"/>
    </row>
    <row r="7" spans="1:37" s="33" customFormat="1" ht="15.6" customHeight="1" x14ac:dyDescent="0.25">
      <c r="A7" s="1943" t="str">
        <f>+Profile!I4</f>
        <v/>
      </c>
      <c r="B7" s="1943"/>
      <c r="C7" s="1943"/>
      <c r="D7" s="1943"/>
      <c r="E7" s="1943"/>
      <c r="F7" s="1943"/>
      <c r="G7" s="1381"/>
      <c r="H7" s="1407"/>
      <c r="I7" s="1407"/>
      <c r="J7" s="1407"/>
      <c r="K7" s="1407"/>
      <c r="L7" s="1407"/>
      <c r="M7" s="1407"/>
      <c r="N7" s="1407"/>
      <c r="O7" s="1407"/>
      <c r="P7" s="1951" t="str">
        <f>+Income!M14</f>
        <v/>
      </c>
      <c r="Q7" s="1951"/>
      <c r="R7" s="1951"/>
      <c r="S7" s="1951" t="str">
        <f>IF(P7="","",P7/12)</f>
        <v/>
      </c>
      <c r="T7" s="1951"/>
      <c r="U7" s="1951"/>
      <c r="V7" s="1951" t="str">
        <f>IF(P7="","",AJ9/12)</f>
        <v/>
      </c>
      <c r="W7" s="1951"/>
      <c r="X7" s="1951"/>
      <c r="AB7" s="512"/>
      <c r="AC7" s="1383"/>
      <c r="AD7" s="1383"/>
      <c r="AE7" s="1383"/>
      <c r="AF7" s="1383"/>
      <c r="AG7" s="1383"/>
      <c r="AH7" s="1383"/>
      <c r="AI7" s="1383"/>
      <c r="AJ7" s="1383"/>
      <c r="AK7" s="513"/>
    </row>
    <row r="8" spans="1:37" s="1384" customFormat="1" ht="15.6" customHeight="1" thickBot="1" x14ac:dyDescent="0.3">
      <c r="A8" s="1943" t="str">
        <f>+Profile!T4</f>
        <v xml:space="preserve">  </v>
      </c>
      <c r="B8" s="1943"/>
      <c r="C8" s="1943"/>
      <c r="D8" s="1943"/>
      <c r="E8" s="1943"/>
      <c r="F8" s="1943"/>
      <c r="G8" s="1381"/>
      <c r="H8" s="1407"/>
      <c r="I8" s="1407"/>
      <c r="J8" s="1407"/>
      <c r="K8" s="1407"/>
      <c r="L8" s="1407"/>
      <c r="M8" s="1407"/>
      <c r="N8" s="1407"/>
      <c r="O8" s="1407"/>
      <c r="P8" s="1951" t="str">
        <f>+Income!X14</f>
        <v/>
      </c>
      <c r="Q8" s="1951"/>
      <c r="R8" s="1951"/>
      <c r="S8" s="1951" t="str">
        <f>IF(P8="","",P8/12)</f>
        <v/>
      </c>
      <c r="T8" s="1951"/>
      <c r="U8" s="1951"/>
      <c r="V8" s="1951" t="str">
        <f>IF(P8="","",AJ10/12)</f>
        <v/>
      </c>
      <c r="W8" s="1951"/>
      <c r="X8" s="1951"/>
      <c r="AB8" s="464"/>
      <c r="AC8" s="465"/>
      <c r="AD8" s="465"/>
      <c r="AE8" s="465"/>
      <c r="AF8" s="1385" t="s">
        <v>236</v>
      </c>
      <c r="AG8" s="1385" t="s">
        <v>237</v>
      </c>
      <c r="AH8" s="1385" t="s">
        <v>238</v>
      </c>
      <c r="AI8" s="465"/>
      <c r="AJ8" s="1385" t="s">
        <v>536</v>
      </c>
      <c r="AK8" s="466"/>
    </row>
    <row r="9" spans="1:37" s="33" customFormat="1" ht="15.6" customHeight="1" x14ac:dyDescent="0.25">
      <c r="A9" s="1940" t="s">
        <v>1426</v>
      </c>
      <c r="B9" s="1941"/>
      <c r="C9" s="1941"/>
      <c r="D9" s="1941"/>
      <c r="E9" s="1941"/>
      <c r="F9" s="1941"/>
      <c r="G9" s="1386"/>
      <c r="H9" s="1967"/>
      <c r="I9" s="1968"/>
      <c r="J9" s="1969"/>
      <c r="K9" s="1431"/>
      <c r="L9" s="1432"/>
      <c r="M9" s="1432"/>
      <c r="N9" s="1387"/>
      <c r="O9" s="1380"/>
      <c r="P9" s="1952"/>
      <c r="Q9" s="1952"/>
      <c r="R9" s="1952"/>
      <c r="S9" s="1952"/>
      <c r="T9" s="1952"/>
      <c r="U9" s="1952"/>
      <c r="V9" s="1952"/>
      <c r="W9" s="1952"/>
      <c r="X9" s="1952"/>
      <c r="AB9" s="464"/>
      <c r="AC9" s="1388" t="str">
        <f>+A7</f>
        <v/>
      </c>
      <c r="AD9" s="1389" t="str">
        <f>+P7</f>
        <v/>
      </c>
      <c r="AE9" s="465"/>
      <c r="AF9" s="1390" t="e">
        <f>IF(AND($AD9&gt;=AF$15,$AD9&lt;AF$16),AH$15,IF(AND($AD9&gt;=AF$16,$AD9&lt;AF$17),AH$16+($AD9-AF$16)*AG$16,IF(AND($AD9&gt;=AF$17,$AD9&lt;AF$18),AH$17+($AD9-AF$17)*AG$17,IF(AND($AD9&gt;=AF$18,$AD9&lt;AF$19),AH$18+($AD9-AF$18)*AG$18,IF($AD9&gt;=AF$19,AH$19+($AD9-AF$19)*AG$19,"Error")))))</f>
        <v>#VALUE!</v>
      </c>
      <c r="AG9" s="1390" t="e">
        <f>IF(AD9&lt;=$AF$25,0,IF(AD9&lt;=$AF$26,($AF$25)*$AG$25,+(AD9*$AG$26)))</f>
        <v>#VALUE!</v>
      </c>
      <c r="AH9" s="1390" t="e">
        <f>+AF9+AG9</f>
        <v>#VALUE!</v>
      </c>
      <c r="AI9" s="465"/>
      <c r="AJ9" s="1390" t="e">
        <f>+AD9-AH9-AG9</f>
        <v>#VALUE!</v>
      </c>
      <c r="AK9" s="466"/>
    </row>
    <row r="10" spans="1:37" s="33" customFormat="1" ht="15.6" customHeight="1" x14ac:dyDescent="0.25">
      <c r="A10" s="1943" t="s">
        <v>553</v>
      </c>
      <c r="B10" s="1943"/>
      <c r="C10" s="1943"/>
      <c r="D10" s="1943"/>
      <c r="E10" s="1943"/>
      <c r="F10" s="1943"/>
      <c r="G10" s="1391"/>
      <c r="H10" s="1951">
        <f>+Funding!X8</f>
        <v>0</v>
      </c>
      <c r="I10" s="1951"/>
      <c r="J10" s="1951"/>
      <c r="K10" s="1954" t="s">
        <v>577</v>
      </c>
      <c r="L10" s="1955"/>
      <c r="M10" s="1955"/>
      <c r="N10" s="58"/>
      <c r="O10" s="1392"/>
      <c r="P10" s="1951">
        <f>IF(H10="","",VLOOKUP(K10,Settings!$Z$29:$AA$36,2,FALSE)*H10)</f>
        <v>0</v>
      </c>
      <c r="Q10" s="1951"/>
      <c r="R10" s="1951"/>
      <c r="S10" s="1951">
        <f>IF(P10="","",P10/12)</f>
        <v>0</v>
      </c>
      <c r="T10" s="1951"/>
      <c r="U10" s="1951"/>
      <c r="V10" s="1951">
        <f>IF(S10="","",+S10*0.8)</f>
        <v>0</v>
      </c>
      <c r="W10" s="1951"/>
      <c r="X10" s="1951"/>
      <c r="AB10" s="464"/>
      <c r="AC10" s="1388" t="str">
        <f>+A8</f>
        <v xml:space="preserve">  </v>
      </c>
      <c r="AD10" s="1389" t="str">
        <f>+P8</f>
        <v/>
      </c>
      <c r="AE10" s="465"/>
      <c r="AF10" s="1390">
        <f>IF(AD10="",0,IF(AND($AD10&gt;=AF$15,$AD10&lt;AF$16),AH$15,IF(AND($AD10&gt;=AF$16,$AD10&lt;AF$17),AH$16+($AD10-AF$16)*AG$16,IF(AND($AD10&gt;=AF$17,$AD10&lt;AF$18),AH$17+($AD10-AF$17)*AG$17,IF(AND($AD10&gt;=AF$18,$AD10&lt;AF$19),AH$18+($AD10-AF$18)*AG$18,IF($AD10&gt;=AF$19,AH$19+($AD10-AF$19)*AG$19,"Error"))))))</f>
        <v>0</v>
      </c>
      <c r="AG10" s="1390" t="e">
        <f>IF(AD10&lt;=$AF$25,0,IF(AD10&lt;=$AF$26,($AF$25)*$AG$25,+(AD10*$AG$26)))</f>
        <v>#VALUE!</v>
      </c>
      <c r="AH10" s="1390" t="e">
        <f>+AF10+AG10</f>
        <v>#VALUE!</v>
      </c>
      <c r="AI10" s="465"/>
      <c r="AJ10" s="1390" t="e">
        <f>+AD10-AH10-AG10</f>
        <v>#VALUE!</v>
      </c>
      <c r="AK10" s="466"/>
    </row>
    <row r="11" spans="1:37" s="33" customFormat="1" ht="15.6" customHeight="1" x14ac:dyDescent="0.25">
      <c r="A11" s="1943" t="s">
        <v>552</v>
      </c>
      <c r="B11" s="1943"/>
      <c r="C11" s="1943"/>
      <c r="D11" s="1943"/>
      <c r="E11" s="1943"/>
      <c r="F11" s="1943"/>
      <c r="G11" s="1391"/>
      <c r="H11" s="1951">
        <f>SUM('A&amp;L'!AB8:AB12)</f>
        <v>0</v>
      </c>
      <c r="I11" s="1951"/>
      <c r="J11" s="1951"/>
      <c r="K11" s="1954" t="s">
        <v>577</v>
      </c>
      <c r="L11" s="1955"/>
      <c r="M11" s="1955"/>
      <c r="N11" s="58"/>
      <c r="O11" s="1392"/>
      <c r="P11" s="1951">
        <f>IF(H11="","",VLOOKUP(K11,Settings!$Z$29:$AA$36,2,FALSE)*H11)</f>
        <v>0</v>
      </c>
      <c r="Q11" s="1951"/>
      <c r="R11" s="1951"/>
      <c r="S11" s="1951">
        <f t="shared" ref="S11:S14" si="0">IF(P11="","",P11/12)</f>
        <v>0</v>
      </c>
      <c r="T11" s="1951"/>
      <c r="U11" s="1951"/>
      <c r="V11" s="1951">
        <f>IF(S11="","",+S11*0.8)</f>
        <v>0</v>
      </c>
      <c r="W11" s="1951"/>
      <c r="X11" s="1951"/>
      <c r="AB11" s="464"/>
      <c r="AC11" s="467"/>
      <c r="AD11" s="468"/>
      <c r="AE11" s="465"/>
      <c r="AF11" s="179"/>
      <c r="AG11" s="179"/>
      <c r="AH11" s="179"/>
      <c r="AI11" s="465"/>
      <c r="AJ11" s="465"/>
      <c r="AK11" s="466"/>
    </row>
    <row r="12" spans="1:37" s="33" customFormat="1" ht="15.6" customHeight="1" x14ac:dyDescent="0.25">
      <c r="A12" s="1940" t="s">
        <v>1427</v>
      </c>
      <c r="B12" s="1941"/>
      <c r="C12" s="1941"/>
      <c r="D12" s="1941"/>
      <c r="E12" s="1941"/>
      <c r="F12" s="1941"/>
      <c r="G12" s="1391"/>
      <c r="H12" s="1420"/>
      <c r="I12" s="1420"/>
      <c r="J12" s="1420"/>
      <c r="K12" s="1433"/>
      <c r="L12" s="1434"/>
      <c r="M12" s="1434"/>
      <c r="N12" s="58"/>
      <c r="O12" s="1392"/>
      <c r="P12" s="1420"/>
      <c r="Q12" s="1420"/>
      <c r="R12" s="1420"/>
      <c r="S12" s="1420"/>
      <c r="T12" s="1420"/>
      <c r="U12" s="1420"/>
      <c r="V12" s="1420"/>
      <c r="W12" s="1420"/>
      <c r="X12" s="1420"/>
      <c r="AB12" s="464"/>
      <c r="AC12" s="465"/>
      <c r="AD12" s="465"/>
      <c r="AE12" s="465"/>
      <c r="AF12" s="465"/>
      <c r="AG12" s="465"/>
      <c r="AH12" s="465"/>
      <c r="AI12" s="465"/>
      <c r="AJ12" s="465"/>
      <c r="AK12" s="466"/>
    </row>
    <row r="13" spans="1:37" s="33" customFormat="1" ht="15.6" customHeight="1" x14ac:dyDescent="0.25">
      <c r="A13" s="1943" t="s">
        <v>1424</v>
      </c>
      <c r="B13" s="1943"/>
      <c r="C13" s="1943"/>
      <c r="D13" s="1943"/>
      <c r="E13" s="1943"/>
      <c r="F13" s="1943"/>
      <c r="G13" s="1391"/>
      <c r="H13" s="1951"/>
      <c r="I13" s="1951"/>
      <c r="J13" s="1951"/>
      <c r="K13" s="1392"/>
      <c r="L13" s="1392"/>
      <c r="M13" s="1392"/>
      <c r="N13" s="1392"/>
      <c r="O13" s="1392"/>
      <c r="P13" s="1951">
        <f>+SUM('A&amp;L'!AB11:AB12)*52</f>
        <v>0</v>
      </c>
      <c r="Q13" s="1951"/>
      <c r="R13" s="1951"/>
      <c r="S13" s="1951">
        <f t="shared" ref="S13" si="1">IF(P13="","",P13/12)</f>
        <v>0</v>
      </c>
      <c r="T13" s="1951"/>
      <c r="U13" s="1951"/>
      <c r="V13" s="1951">
        <f>IF(S13="","",+S13*0.8)</f>
        <v>0</v>
      </c>
      <c r="W13" s="1951"/>
      <c r="X13" s="1951"/>
      <c r="Y13" s="1396"/>
      <c r="AB13" s="464"/>
      <c r="AC13" s="465"/>
      <c r="AD13" s="465"/>
      <c r="AE13" s="465"/>
      <c r="AF13" s="1397" t="s">
        <v>635</v>
      </c>
      <c r="AG13" s="1398"/>
      <c r="AH13" s="1399"/>
      <c r="AI13" s="465"/>
      <c r="AJ13" s="465"/>
      <c r="AK13" s="466"/>
    </row>
    <row r="14" spans="1:37" s="58" customFormat="1" ht="15.6" customHeight="1" x14ac:dyDescent="0.25">
      <c r="A14" s="1943" t="s">
        <v>1415</v>
      </c>
      <c r="B14" s="1943"/>
      <c r="C14" s="1943"/>
      <c r="D14" s="1943"/>
      <c r="E14" s="1943"/>
      <c r="F14" s="1943"/>
      <c r="G14" s="1393"/>
      <c r="H14" s="1407"/>
      <c r="I14" s="1392"/>
      <c r="J14" s="1392"/>
      <c r="K14" s="1392"/>
      <c r="L14" s="1392"/>
      <c r="M14" s="1392"/>
      <c r="N14" s="1392"/>
      <c r="O14" s="1392"/>
      <c r="P14" s="1951">
        <f>+Income!G17+Income!R17</f>
        <v>0</v>
      </c>
      <c r="Q14" s="1951"/>
      <c r="R14" s="1951"/>
      <c r="S14" s="1951">
        <f t="shared" si="0"/>
        <v>0</v>
      </c>
      <c r="T14" s="1951"/>
      <c r="U14" s="1951"/>
      <c r="V14" s="1951">
        <f>IF(S14="","",+S14)</f>
        <v>0</v>
      </c>
      <c r="W14" s="1951"/>
      <c r="X14" s="1951"/>
      <c r="AB14" s="464"/>
      <c r="AC14" s="465"/>
      <c r="AD14" s="465"/>
      <c r="AE14" s="465"/>
      <c r="AF14" s="1401" t="s">
        <v>240</v>
      </c>
      <c r="AG14" s="1401" t="s">
        <v>29</v>
      </c>
      <c r="AH14" s="1402" t="s">
        <v>241</v>
      </c>
      <c r="AI14" s="465"/>
      <c r="AJ14" s="465"/>
      <c r="AK14" s="466"/>
    </row>
    <row r="15" spans="1:37" s="58" customFormat="1" ht="15.6" customHeight="1" x14ac:dyDescent="0.25">
      <c r="A15" s="1943"/>
      <c r="B15" s="1943"/>
      <c r="C15" s="1943"/>
      <c r="D15" s="1943"/>
      <c r="E15" s="1943"/>
      <c r="F15" s="1943"/>
      <c r="G15" s="1394"/>
      <c r="I15" s="1382"/>
      <c r="J15" s="1382"/>
      <c r="K15" s="1382"/>
      <c r="L15" s="1382"/>
      <c r="M15" s="1382"/>
      <c r="N15" s="1382"/>
      <c r="O15" s="1395"/>
      <c r="P15" s="1951"/>
      <c r="Q15" s="1951"/>
      <c r="R15" s="1951"/>
      <c r="S15" s="1951"/>
      <c r="T15" s="1951"/>
      <c r="U15" s="1951"/>
      <c r="V15" s="1951"/>
      <c r="W15" s="1951"/>
      <c r="X15" s="1951"/>
      <c r="Y15" s="1400"/>
      <c r="AB15" s="464"/>
      <c r="AC15" s="465"/>
      <c r="AD15" s="465"/>
      <c r="AE15" s="465"/>
      <c r="AF15" s="1403">
        <v>0</v>
      </c>
      <c r="AG15" s="1404">
        <v>0</v>
      </c>
      <c r="AH15" s="1402">
        <v>0</v>
      </c>
      <c r="AI15" s="465"/>
      <c r="AJ15" s="465"/>
      <c r="AK15" s="466"/>
    </row>
    <row r="16" spans="1:37" s="58" customFormat="1" ht="15.6" customHeight="1" x14ac:dyDescent="0.25">
      <c r="A16" s="1400"/>
      <c r="B16" s="1400"/>
      <c r="C16" s="1400"/>
      <c r="D16" s="1400"/>
      <c r="E16" s="1400"/>
      <c r="F16" s="1400"/>
      <c r="G16" s="1400"/>
      <c r="H16" s="1957" t="s">
        <v>682</v>
      </c>
      <c r="I16" s="1957"/>
      <c r="J16" s="1957"/>
      <c r="K16" s="1957"/>
      <c r="L16" s="1957"/>
      <c r="M16" s="1957"/>
      <c r="N16" s="1957"/>
      <c r="O16" s="1400"/>
      <c r="P16" s="1950">
        <f>SUM(P7:R15)</f>
        <v>0</v>
      </c>
      <c r="Q16" s="1950"/>
      <c r="R16" s="1950"/>
      <c r="S16" s="1950">
        <f>SUM(S7:U15)</f>
        <v>0</v>
      </c>
      <c r="T16" s="1950"/>
      <c r="U16" s="1950"/>
      <c r="V16" s="1950">
        <f>SUM(V7:X15)</f>
        <v>0</v>
      </c>
      <c r="W16" s="1950"/>
      <c r="X16" s="1950"/>
      <c r="AB16" s="464"/>
      <c r="AC16" s="465"/>
      <c r="AD16" s="465"/>
      <c r="AE16" s="465"/>
      <c r="AF16" s="1403">
        <v>18201</v>
      </c>
      <c r="AG16" s="1404">
        <v>0.19</v>
      </c>
      <c r="AH16" s="1402">
        <v>0</v>
      </c>
      <c r="AI16" s="465"/>
      <c r="AJ16" s="465"/>
      <c r="AK16" s="466"/>
    </row>
    <row r="17" spans="1:96" s="58" customFormat="1" ht="15.6" customHeight="1" x14ac:dyDescent="0.25">
      <c r="A17" s="1400"/>
      <c r="B17" s="1400"/>
      <c r="C17" s="1400"/>
      <c r="D17" s="1400"/>
      <c r="E17" s="1400"/>
      <c r="F17" s="1400"/>
      <c r="G17" s="1400"/>
      <c r="H17" s="1400"/>
      <c r="I17" s="1400"/>
      <c r="J17" s="1400"/>
      <c r="K17" s="1400"/>
      <c r="L17" s="1400"/>
      <c r="M17" s="1400"/>
      <c r="N17" s="1400"/>
      <c r="P17" s="1400"/>
      <c r="Q17" s="1400"/>
      <c r="R17" s="1400"/>
      <c r="S17" s="1400"/>
      <c r="T17" s="1937">
        <v>7.2499999999999995E-2</v>
      </c>
      <c r="U17" s="1937"/>
      <c r="V17" s="1400"/>
      <c r="W17" s="1400"/>
      <c r="X17" s="1400"/>
      <c r="AB17" s="464"/>
      <c r="AC17" s="465"/>
      <c r="AD17" s="465"/>
      <c r="AE17" s="465"/>
      <c r="AF17" s="1403">
        <v>37001</v>
      </c>
      <c r="AG17" s="1404">
        <v>0.32500000000000001</v>
      </c>
      <c r="AH17" s="1402">
        <v>3572</v>
      </c>
      <c r="AI17" s="465"/>
      <c r="AJ17" s="465"/>
      <c r="AK17" s="466"/>
    </row>
    <row r="18" spans="1:96" s="58" customFormat="1" ht="15.6" customHeight="1" x14ac:dyDescent="0.25">
      <c r="A18" s="1940" t="s">
        <v>1428</v>
      </c>
      <c r="B18" s="1941"/>
      <c r="C18" s="1941"/>
      <c r="D18" s="1941"/>
      <c r="E18" s="1941"/>
      <c r="F18" s="1941"/>
      <c r="G18" s="1427"/>
      <c r="H18" s="1952" t="s">
        <v>687</v>
      </c>
      <c r="I18" s="1952"/>
      <c r="J18" s="1952"/>
      <c r="K18" s="1956" t="s">
        <v>29</v>
      </c>
      <c r="L18" s="1956"/>
      <c r="M18" s="1956" t="s">
        <v>78</v>
      </c>
      <c r="N18" s="1956"/>
      <c r="O18" s="1472"/>
      <c r="P18" s="1952" t="s">
        <v>281</v>
      </c>
      <c r="Q18" s="1952"/>
      <c r="R18" s="1952"/>
      <c r="S18" s="1952" t="s">
        <v>1416</v>
      </c>
      <c r="T18" s="1952"/>
      <c r="U18" s="1952"/>
      <c r="V18" s="1952" t="s">
        <v>24</v>
      </c>
      <c r="W18" s="1952"/>
      <c r="X18" s="1952"/>
      <c r="AB18" s="464"/>
      <c r="AC18" s="465"/>
      <c r="AD18" s="465"/>
      <c r="AE18" s="465"/>
      <c r="AF18" s="1403">
        <v>80001</v>
      </c>
      <c r="AG18" s="1404">
        <v>0.37</v>
      </c>
      <c r="AH18" s="1402">
        <v>17547</v>
      </c>
      <c r="AI18" s="465"/>
      <c r="AJ18" s="465"/>
      <c r="AK18" s="466"/>
    </row>
    <row r="19" spans="1:96" s="58" customFormat="1" ht="15.6" customHeight="1" x14ac:dyDescent="0.25">
      <c r="A19" s="1943" t="str">
        <f>CONCATENATE("Proposed ",Funding!G12," Loan")</f>
        <v>Proposed Invest Loan</v>
      </c>
      <c r="B19" s="1943"/>
      <c r="C19" s="1943"/>
      <c r="D19" s="1943"/>
      <c r="E19" s="1943"/>
      <c r="F19" s="1943"/>
      <c r="G19" s="1382"/>
      <c r="H19" s="1944" t="str">
        <f>+Funding!AD25</f>
        <v>Settlement</v>
      </c>
      <c r="I19" s="1944"/>
      <c r="J19" s="1944"/>
      <c r="K19" s="1964">
        <f>+Funding!AP25</f>
        <v>0</v>
      </c>
      <c r="L19" s="1964"/>
      <c r="M19" s="1965">
        <v>30</v>
      </c>
      <c r="N19" s="1965"/>
      <c r="P19" s="1938">
        <f>+Funding!AQ25</f>
        <v>0</v>
      </c>
      <c r="Q19" s="1938"/>
      <c r="R19" s="1938"/>
      <c r="S19" s="1939" t="e">
        <f>IF(M19="",PMT(T17/12,25*12,-H19),PMT(T17/12,M19*12,-H19))</f>
        <v>#VALUE!</v>
      </c>
      <c r="T19" s="1939"/>
      <c r="U19" s="1939"/>
      <c r="V19" s="1942" t="e">
        <f>MAX(P19:U19)</f>
        <v>#VALUE!</v>
      </c>
      <c r="W19" s="1942"/>
      <c r="X19" s="1942"/>
      <c r="AB19" s="464"/>
      <c r="AC19" s="465"/>
      <c r="AD19" s="465"/>
      <c r="AE19" s="465"/>
      <c r="AF19" s="1403">
        <v>180001</v>
      </c>
      <c r="AG19" s="1404">
        <v>0.47</v>
      </c>
      <c r="AH19" s="1402">
        <v>54547</v>
      </c>
      <c r="AI19" s="465"/>
      <c r="AJ19" s="465"/>
      <c r="AK19" s="466"/>
    </row>
    <row r="20" spans="1:96" s="58" customFormat="1" ht="15.6" customHeight="1" x14ac:dyDescent="0.25">
      <c r="A20" s="1940" t="s">
        <v>1429</v>
      </c>
      <c r="B20" s="1941"/>
      <c r="C20" s="1941"/>
      <c r="D20" s="1941"/>
      <c r="E20" s="1941"/>
      <c r="F20" s="1941"/>
      <c r="G20" s="1382"/>
      <c r="H20" s="1382"/>
      <c r="I20" s="1382"/>
      <c r="J20" s="1382"/>
      <c r="K20" s="1405"/>
      <c r="L20" s="1405"/>
      <c r="M20" s="1405"/>
      <c r="N20" s="1406"/>
      <c r="O20" s="1382"/>
      <c r="P20" s="1938"/>
      <c r="Q20" s="1938"/>
      <c r="R20" s="1938"/>
      <c r="S20" s="1939"/>
      <c r="T20" s="1939"/>
      <c r="U20" s="1939"/>
      <c r="V20" s="1942"/>
      <c r="W20" s="1942"/>
      <c r="X20" s="1942"/>
      <c r="AB20" s="464"/>
      <c r="AC20" s="465"/>
      <c r="AD20" s="465"/>
      <c r="AE20" s="466"/>
      <c r="AF20" s="1403" t="s">
        <v>237</v>
      </c>
      <c r="AG20" s="1408">
        <v>0.02</v>
      </c>
      <c r="AH20" s="1402"/>
      <c r="AI20" s="464"/>
      <c r="AJ20" s="465"/>
      <c r="AK20" s="466"/>
    </row>
    <row r="21" spans="1:96" s="58" customFormat="1" ht="15.6" customHeight="1" x14ac:dyDescent="0.25">
      <c r="A21" s="1943" t="s">
        <v>629</v>
      </c>
      <c r="B21" s="1943"/>
      <c r="C21" s="1943"/>
      <c r="D21" s="1943"/>
      <c r="E21" s="1943"/>
      <c r="F21" s="1943"/>
      <c r="G21" s="1394"/>
      <c r="H21" s="1944">
        <f>SUM('A&amp;L'!R7:S7)</f>
        <v>0</v>
      </c>
      <c r="I21" s="1944"/>
      <c r="J21" s="1944"/>
      <c r="K21" s="1945">
        <v>0.04</v>
      </c>
      <c r="L21" s="1945"/>
      <c r="M21" s="1946">
        <v>25</v>
      </c>
      <c r="N21" s="1946"/>
      <c r="O21" s="1407"/>
      <c r="P21" s="1938">
        <f>SUM('A&amp;L'!X7:Y7)</f>
        <v>0</v>
      </c>
      <c r="Q21" s="1938"/>
      <c r="R21" s="1938"/>
      <c r="S21" s="1939" t="str">
        <f>IF(+H21*M21=0,"",PMT(K21/12,M21*12,-H21))</f>
        <v/>
      </c>
      <c r="T21" s="1939"/>
      <c r="U21" s="1939"/>
      <c r="V21" s="1942">
        <f t="shared" ref="V21:V26" si="2">MAX(P21:U21)</f>
        <v>0</v>
      </c>
      <c r="W21" s="1942"/>
      <c r="X21" s="1942"/>
      <c r="AB21" s="469"/>
      <c r="AC21" s="470"/>
      <c r="AD21" s="470"/>
      <c r="AE21" s="470"/>
      <c r="AF21" s="1409"/>
      <c r="AG21" s="1410"/>
      <c r="AH21" s="1411"/>
      <c r="AI21" s="470"/>
      <c r="AJ21" s="470"/>
      <c r="AK21" s="471"/>
      <c r="CK21" s="73"/>
      <c r="CL21" s="73"/>
      <c r="CM21" s="73"/>
      <c r="CN21" s="73"/>
      <c r="CO21" s="73"/>
      <c r="CP21" s="73"/>
      <c r="CQ21" s="73"/>
      <c r="CR21" s="73"/>
    </row>
    <row r="22" spans="1:96" s="58" customFormat="1" ht="15.6" customHeight="1" x14ac:dyDescent="0.25">
      <c r="A22" s="1943" t="s">
        <v>630</v>
      </c>
      <c r="B22" s="1943"/>
      <c r="C22" s="1943"/>
      <c r="D22" s="1943"/>
      <c r="E22" s="1943"/>
      <c r="F22" s="1943"/>
      <c r="G22" s="1394"/>
      <c r="H22" s="1944">
        <f>SUM('A&amp;L'!R8:S10)</f>
        <v>0</v>
      </c>
      <c r="I22" s="1944"/>
      <c r="J22" s="1944"/>
      <c r="K22" s="1945">
        <v>4.4999999999999998E-2</v>
      </c>
      <c r="L22" s="1945"/>
      <c r="M22" s="1946">
        <v>25</v>
      </c>
      <c r="N22" s="1946"/>
      <c r="O22" s="1382"/>
      <c r="P22" s="1938">
        <f>SUM('A&amp;L'!X8:Y10)</f>
        <v>0</v>
      </c>
      <c r="Q22" s="1938"/>
      <c r="R22" s="1938"/>
      <c r="S22" s="1939" t="str">
        <f>IF(+H22*M22=0,"",PMT(K22/12,M22*12,-H22))</f>
        <v/>
      </c>
      <c r="T22" s="1939"/>
      <c r="U22" s="1939"/>
      <c r="V22" s="1942">
        <f t="shared" si="2"/>
        <v>0</v>
      </c>
      <c r="W22" s="1942"/>
      <c r="X22" s="1942"/>
      <c r="Y22" s="29"/>
      <c r="CK22" s="127"/>
      <c r="CL22" s="127"/>
      <c r="CM22" s="127"/>
      <c r="CN22" s="127"/>
      <c r="CO22" s="127"/>
      <c r="CP22" s="127"/>
      <c r="CQ22" s="127"/>
      <c r="CR22" s="127"/>
    </row>
    <row r="23" spans="1:96" s="58" customFormat="1" ht="15.6" customHeight="1" x14ac:dyDescent="0.25">
      <c r="A23" s="1943" t="s">
        <v>1423</v>
      </c>
      <c r="B23" s="1943"/>
      <c r="C23" s="1943"/>
      <c r="D23" s="1943"/>
      <c r="E23" s="1943"/>
      <c r="F23" s="1943"/>
      <c r="G23" s="1394"/>
      <c r="H23" s="1944">
        <f>SUM('A&amp;L'!R11:S12)</f>
        <v>0</v>
      </c>
      <c r="I23" s="1944"/>
      <c r="J23" s="1944"/>
      <c r="K23" s="1945">
        <v>7.0000000000000007E-2</v>
      </c>
      <c r="L23" s="1945"/>
      <c r="M23" s="1946">
        <v>15</v>
      </c>
      <c r="N23" s="1946"/>
      <c r="O23" s="1382"/>
      <c r="P23" s="1938">
        <f>SUM('A&amp;L'!X11:Y12)</f>
        <v>0</v>
      </c>
      <c r="Q23" s="1938"/>
      <c r="R23" s="1938"/>
      <c r="S23" s="1939" t="str">
        <f>IF(+H23*M23=0,"",PMT(K23/12,M23*12,-H23))</f>
        <v/>
      </c>
      <c r="T23" s="1939"/>
      <c r="U23" s="1939"/>
      <c r="V23" s="1942">
        <f t="shared" ref="V23" si="3">MAX(P23:U23)</f>
        <v>0</v>
      </c>
      <c r="W23" s="1942"/>
      <c r="X23" s="1942"/>
      <c r="Y23" s="29"/>
      <c r="AE23" s="507"/>
      <c r="AF23" s="1959" t="s">
        <v>237</v>
      </c>
      <c r="AG23" s="1960"/>
      <c r="AH23" s="1961"/>
      <c r="CK23" s="127"/>
      <c r="CL23" s="1412"/>
      <c r="CM23" s="1412"/>
      <c r="CN23" s="1412"/>
      <c r="CO23" s="1412"/>
      <c r="CP23" s="1412"/>
      <c r="CQ23" s="1412"/>
      <c r="CR23" s="127"/>
    </row>
    <row r="24" spans="1:96" s="58" customFormat="1" ht="15.6" customHeight="1" x14ac:dyDescent="0.25">
      <c r="A24" s="1943" t="s">
        <v>534</v>
      </c>
      <c r="B24" s="1943"/>
      <c r="C24" s="1943"/>
      <c r="D24" s="1943"/>
      <c r="E24" s="1943"/>
      <c r="F24" s="1943"/>
      <c r="G24" s="1394"/>
      <c r="H24" s="1944">
        <f>SUM('A&amp;L'!R14:S16)</f>
        <v>0</v>
      </c>
      <c r="I24" s="1944"/>
      <c r="J24" s="1944"/>
      <c r="K24" s="1945">
        <v>7.0000000000000007E-2</v>
      </c>
      <c r="L24" s="1945"/>
      <c r="M24" s="1946">
        <v>7</v>
      </c>
      <c r="N24" s="1946"/>
      <c r="O24" s="1407"/>
      <c r="P24" s="1938">
        <f>SUM('A&amp;L'!X14:Y16)</f>
        <v>0</v>
      </c>
      <c r="Q24" s="1938"/>
      <c r="R24" s="1938"/>
      <c r="S24" s="1939" t="str">
        <f>IF(+H24*M24=0,"",PMT(K24/12,M24*12,-H24))</f>
        <v/>
      </c>
      <c r="T24" s="1939"/>
      <c r="U24" s="1939"/>
      <c r="V24" s="1942">
        <f t="shared" si="2"/>
        <v>0</v>
      </c>
      <c r="W24" s="1942"/>
      <c r="X24" s="1942"/>
      <c r="Y24" s="29"/>
      <c r="AE24" s="507"/>
      <c r="AF24" s="508" t="s">
        <v>636</v>
      </c>
      <c r="AG24" s="508" t="s">
        <v>29</v>
      </c>
      <c r="AH24" s="508" t="s">
        <v>637</v>
      </c>
      <c r="CK24" s="127"/>
      <c r="CL24" s="1412"/>
      <c r="CM24" s="1412"/>
      <c r="CN24" s="1412"/>
      <c r="CO24" s="1412"/>
      <c r="CP24" s="1412"/>
      <c r="CQ24" s="1412"/>
      <c r="CR24" s="127"/>
    </row>
    <row r="25" spans="1:96" s="58" customFormat="1" ht="15.6" customHeight="1" x14ac:dyDescent="0.25">
      <c r="A25" s="1943" t="s">
        <v>535</v>
      </c>
      <c r="B25" s="1943"/>
      <c r="C25" s="1943"/>
      <c r="D25" s="1943"/>
      <c r="E25" s="1943"/>
      <c r="F25" s="1943"/>
      <c r="G25" s="1394"/>
      <c r="H25" s="1944">
        <f>SUM('A&amp;L'!R34:S35)</f>
        <v>0</v>
      </c>
      <c r="I25" s="1944"/>
      <c r="J25" s="1944"/>
      <c r="K25" s="1945">
        <v>0.04</v>
      </c>
      <c r="L25" s="1945"/>
      <c r="M25" s="1946">
        <v>15</v>
      </c>
      <c r="N25" s="1946"/>
      <c r="O25" s="1407"/>
      <c r="P25" s="1938">
        <f>SUM('A&amp;L'!X34:Y35)</f>
        <v>0</v>
      </c>
      <c r="Q25" s="1938"/>
      <c r="R25" s="1938"/>
      <c r="S25" s="1939" t="str">
        <f>IF(+H25*M25=0,"",PMT(K25/12,M25*12,-H25))</f>
        <v/>
      </c>
      <c r="T25" s="1939"/>
      <c r="U25" s="1939"/>
      <c r="V25" s="1942">
        <f t="shared" si="2"/>
        <v>0</v>
      </c>
      <c r="W25" s="1942"/>
      <c r="X25" s="1942"/>
      <c r="Y25" s="29"/>
      <c r="AE25" s="509"/>
      <c r="AF25" s="1403">
        <v>21335</v>
      </c>
      <c r="AG25" s="1414">
        <v>0.01</v>
      </c>
      <c r="AH25" s="510"/>
      <c r="CK25" s="127"/>
      <c r="CL25" s="1412"/>
      <c r="CM25" s="1412"/>
      <c r="CN25" s="1412"/>
      <c r="CO25" s="1412"/>
      <c r="CP25" s="1412"/>
      <c r="CQ25" s="1412"/>
      <c r="CR25" s="127"/>
    </row>
    <row r="26" spans="1:96" s="58" customFormat="1" ht="15.6" customHeight="1" x14ac:dyDescent="0.25">
      <c r="A26" s="1943" t="s">
        <v>1417</v>
      </c>
      <c r="B26" s="1943"/>
      <c r="C26" s="1943"/>
      <c r="D26" s="1943"/>
      <c r="E26" s="1943"/>
      <c r="F26" s="1943"/>
      <c r="G26" s="1394"/>
      <c r="H26" s="1944">
        <f>SUM('A&amp;L'!R30:S33)</f>
        <v>0</v>
      </c>
      <c r="I26" s="1944"/>
      <c r="J26" s="1944"/>
      <c r="K26" s="1945">
        <v>0.19</v>
      </c>
      <c r="L26" s="1945"/>
      <c r="M26" s="1963"/>
      <c r="N26" s="1963"/>
      <c r="O26" s="1407"/>
      <c r="P26" s="1938"/>
      <c r="Q26" s="1938"/>
      <c r="R26" s="1938"/>
      <c r="S26" s="1939" t="str">
        <f>IF(SUM(H26)=0,"",+H26*2.5%)</f>
        <v/>
      </c>
      <c r="T26" s="1939"/>
      <c r="U26" s="1939"/>
      <c r="V26" s="1942">
        <f t="shared" si="2"/>
        <v>0</v>
      </c>
      <c r="W26" s="1942"/>
      <c r="X26" s="1942"/>
      <c r="Y26" s="29"/>
      <c r="AE26" s="509"/>
      <c r="AF26" s="1403">
        <v>26668</v>
      </c>
      <c r="AG26" s="1414">
        <v>0.02</v>
      </c>
      <c r="AH26" s="510"/>
      <c r="CK26" s="127"/>
      <c r="CL26" s="1416"/>
      <c r="CM26" s="1417"/>
      <c r="CN26" s="127"/>
      <c r="CO26" s="1418"/>
      <c r="CP26" s="1418"/>
      <c r="CQ26" s="1418"/>
      <c r="CR26" s="127"/>
    </row>
    <row r="27" spans="1:96" s="58" customFormat="1" ht="15.6" customHeight="1" x14ac:dyDescent="0.25">
      <c r="A27" s="1940" t="s">
        <v>1438</v>
      </c>
      <c r="B27" s="1941"/>
      <c r="C27" s="1941"/>
      <c r="D27" s="1941"/>
      <c r="E27" s="1941"/>
      <c r="F27" s="1941"/>
      <c r="G27" s="1394"/>
      <c r="H27" s="1382"/>
      <c r="I27" s="1382"/>
      <c r="J27" s="1382"/>
      <c r="K27" s="1382"/>
      <c r="L27" s="1382"/>
      <c r="M27" s="1382"/>
      <c r="N27" s="1382"/>
      <c r="O27" s="1407"/>
      <c r="P27" s="1428"/>
      <c r="Q27" s="1428"/>
      <c r="R27" s="1428"/>
      <c r="S27" s="1939"/>
      <c r="T27" s="1939"/>
      <c r="U27" s="1939"/>
      <c r="V27" s="1407"/>
      <c r="W27" s="1407"/>
      <c r="X27" s="1407"/>
      <c r="Y27" s="1407"/>
      <c r="AC27" s="1951"/>
      <c r="AD27" s="1951"/>
      <c r="AE27" s="1951"/>
      <c r="CK27" s="127"/>
      <c r="CL27" s="1416"/>
      <c r="CM27" s="1417"/>
      <c r="CN27" s="127"/>
      <c r="CO27" s="1418"/>
      <c r="CP27" s="1418"/>
      <c r="CQ27" s="1418"/>
      <c r="CR27" s="127"/>
    </row>
    <row r="28" spans="1:96" s="58" customFormat="1" ht="15.6" customHeight="1" x14ac:dyDescent="0.25">
      <c r="A28" s="1413" t="s">
        <v>1418</v>
      </c>
      <c r="B28" s="1413"/>
      <c r="C28" s="1413"/>
      <c r="D28" s="1413"/>
      <c r="E28" s="1413"/>
      <c r="F28" s="1413"/>
      <c r="G28" s="1394"/>
      <c r="H28" s="1951">
        <f>SUM(Address!W9,Address!L9)/52</f>
        <v>0</v>
      </c>
      <c r="I28" s="1951"/>
      <c r="J28" s="1951"/>
      <c r="K28" s="1954" t="s">
        <v>577</v>
      </c>
      <c r="L28" s="1955"/>
      <c r="M28" s="1955"/>
      <c r="N28" s="1382"/>
      <c r="O28" s="1407"/>
      <c r="P28" s="1962"/>
      <c r="Q28" s="1962"/>
      <c r="R28" s="1962"/>
      <c r="S28" s="1939"/>
      <c r="T28" s="1939"/>
      <c r="U28" s="1939"/>
      <c r="V28" s="1765">
        <f>IF(H28="","",VLOOKUP(K28,[1]Settings!$Z$29:$AA$36,2,FALSE)*H28)/12</f>
        <v>0</v>
      </c>
      <c r="W28" s="1765"/>
      <c r="X28" s="1765"/>
      <c r="Y28" s="29"/>
      <c r="CK28" s="127"/>
      <c r="CL28" s="1416"/>
      <c r="CM28" s="1417"/>
      <c r="CN28" s="127"/>
      <c r="CO28" s="1418"/>
      <c r="CP28" s="1418"/>
      <c r="CQ28" s="1418"/>
      <c r="CR28" s="127"/>
    </row>
    <row r="29" spans="1:96" ht="15.6" customHeight="1" x14ac:dyDescent="0.25">
      <c r="A29" s="1943" t="s">
        <v>247</v>
      </c>
      <c r="B29" s="1943"/>
      <c r="C29" s="1943"/>
      <c r="D29" s="1943"/>
      <c r="E29" s="1943"/>
      <c r="F29" s="1943"/>
      <c r="G29" s="1394"/>
      <c r="H29" s="1429">
        <f>IF(Profile!X5="",1,2)</f>
        <v>1</v>
      </c>
      <c r="I29" s="1751" t="s">
        <v>248</v>
      </c>
      <c r="J29" s="1751"/>
      <c r="K29" s="1429">
        <f>+Profile!AG18</f>
        <v>0</v>
      </c>
      <c r="L29" s="1751" t="s">
        <v>249</v>
      </c>
      <c r="M29" s="1751"/>
      <c r="N29" s="1467"/>
      <c r="O29" s="1430"/>
      <c r="P29" s="1938">
        <f>SUM(Expenses!Q41)</f>
        <v>0</v>
      </c>
      <c r="Q29" s="1938"/>
      <c r="R29" s="1938"/>
      <c r="S29" s="1939">
        <f>+(1000*H29)+(K29*300)</f>
        <v>1000</v>
      </c>
      <c r="T29" s="1939"/>
      <c r="U29" s="1939"/>
      <c r="V29" s="1942">
        <f t="shared" ref="V29" si="4">MAX(P29:U29)</f>
        <v>1000</v>
      </c>
      <c r="W29" s="1942"/>
      <c r="X29" s="1942"/>
      <c r="Z29" s="58"/>
      <c r="AA29" s="58"/>
      <c r="CK29" s="127"/>
      <c r="CL29" s="1416"/>
      <c r="CM29" s="1417"/>
      <c r="CN29" s="127"/>
      <c r="CO29" s="1418"/>
      <c r="CP29" s="1418"/>
      <c r="CQ29" s="1418"/>
      <c r="CR29" s="127"/>
    </row>
    <row r="30" spans="1:96" ht="15.6" customHeight="1" x14ac:dyDescent="0.25">
      <c r="A30" s="1413"/>
      <c r="B30" s="1413"/>
      <c r="C30" s="1413"/>
      <c r="D30" s="1413"/>
      <c r="E30" s="1413"/>
      <c r="F30" s="1413"/>
      <c r="G30" s="1394"/>
      <c r="H30" s="1419"/>
      <c r="I30" s="1419"/>
      <c r="J30" s="1419"/>
      <c r="K30" s="1419"/>
      <c r="L30" s="1419"/>
      <c r="M30" s="1419"/>
      <c r="N30" s="1419"/>
      <c r="O30" s="1415"/>
      <c r="P30" s="1419"/>
      <c r="Q30" s="1419"/>
      <c r="R30" s="1419"/>
      <c r="S30" s="1419"/>
      <c r="T30" s="1419"/>
      <c r="U30" s="1382"/>
      <c r="V30" s="1420"/>
      <c r="W30" s="1420"/>
      <c r="X30" s="1420"/>
      <c r="CK30" s="127"/>
      <c r="CL30" s="127"/>
      <c r="CM30" s="127"/>
      <c r="CN30" s="127"/>
      <c r="CO30" s="127"/>
      <c r="CP30" s="127"/>
      <c r="CQ30" s="127"/>
      <c r="CR30" s="127"/>
    </row>
    <row r="31" spans="1:96" ht="15.6" customHeight="1" x14ac:dyDescent="0.25">
      <c r="A31" s="1421"/>
      <c r="B31" s="1421"/>
      <c r="C31" s="1421"/>
      <c r="D31" s="1421"/>
      <c r="E31" s="1421"/>
      <c r="F31" s="1421"/>
      <c r="G31" s="1421"/>
      <c r="H31" s="1957" t="s">
        <v>538</v>
      </c>
      <c r="I31" s="1957"/>
      <c r="J31" s="1957"/>
      <c r="K31" s="1957"/>
      <c r="L31" s="1957"/>
      <c r="M31" s="1957"/>
      <c r="N31" s="1957"/>
      <c r="O31" s="1421"/>
      <c r="P31" s="1950"/>
      <c r="Q31" s="1950"/>
      <c r="R31" s="1950"/>
      <c r="S31" s="1950"/>
      <c r="T31" s="1950"/>
      <c r="U31" s="1950"/>
      <c r="V31" s="1950" t="e">
        <f>SUM(V19:X29)</f>
        <v>#VALUE!</v>
      </c>
      <c r="W31" s="1950"/>
      <c r="X31" s="1950"/>
      <c r="CK31" s="127"/>
      <c r="CL31" s="127"/>
      <c r="CM31" s="127"/>
      <c r="CN31" s="127"/>
      <c r="CO31" s="1958"/>
      <c r="CP31" s="1958"/>
      <c r="CQ31" s="1958"/>
      <c r="CR31" s="127"/>
    </row>
    <row r="32" spans="1:96" ht="15.6" customHeight="1" x14ac:dyDescent="0.25">
      <c r="A32" s="1421"/>
      <c r="B32" s="1421"/>
      <c r="C32" s="1421"/>
      <c r="D32" s="1421"/>
      <c r="E32" s="1421"/>
      <c r="F32" s="1421"/>
      <c r="G32" s="1421"/>
      <c r="H32" s="1421"/>
      <c r="I32" s="1421"/>
      <c r="J32" s="1421"/>
      <c r="K32" s="1421"/>
      <c r="L32" s="1421"/>
      <c r="M32" s="1421"/>
      <c r="N32" s="1421"/>
      <c r="O32" s="1421"/>
      <c r="P32" s="1421"/>
      <c r="Q32" s="1421"/>
      <c r="R32" s="1421"/>
      <c r="S32" s="1421"/>
      <c r="T32" s="1421"/>
      <c r="U32" s="1421"/>
      <c r="V32" s="1421"/>
      <c r="W32" s="1421"/>
      <c r="X32" s="1421"/>
      <c r="CK32" s="127"/>
      <c r="CL32" s="127"/>
      <c r="CM32" s="127"/>
      <c r="CN32" s="127"/>
      <c r="CO32" s="1423"/>
      <c r="CP32" s="1423"/>
      <c r="CQ32" s="1424"/>
      <c r="CR32" s="127"/>
    </row>
    <row r="33" spans="1:776" ht="15.6" customHeight="1" x14ac:dyDescent="0.25">
      <c r="A33" s="1948" t="s">
        <v>1419</v>
      </c>
      <c r="B33" s="1948"/>
      <c r="C33" s="1948"/>
      <c r="D33" s="1948"/>
      <c r="E33" s="1948"/>
      <c r="F33" s="1948"/>
      <c r="G33" s="1948"/>
      <c r="H33" s="1948" t="e">
        <f>IF(V33&lt;0, "FAIL - do not submit", "PASS - check lenders Servicing")</f>
        <v>#VALUE!</v>
      </c>
      <c r="I33" s="1948"/>
      <c r="J33" s="1948"/>
      <c r="K33" s="1948"/>
      <c r="L33" s="1948"/>
      <c r="M33" s="1948"/>
      <c r="N33" s="1948"/>
      <c r="O33" s="1422"/>
      <c r="P33" s="1949" t="str">
        <f>IFERROR(IF(V33&gt;=0,"SURPLUS:","SHORTFALL:"),"")</f>
        <v/>
      </c>
      <c r="Q33" s="1949"/>
      <c r="R33" s="1949"/>
      <c r="S33" s="1949"/>
      <c r="T33" s="1422"/>
      <c r="U33" s="1422"/>
      <c r="V33" s="1950" t="e">
        <f>+V16-V31</f>
        <v>#VALUE!</v>
      </c>
      <c r="W33" s="1950"/>
      <c r="X33" s="1950"/>
      <c r="Y33" s="1422"/>
      <c r="CK33" s="127"/>
      <c r="CL33" s="127"/>
      <c r="CM33" s="127"/>
      <c r="CN33" s="127"/>
      <c r="CO33" s="1425"/>
      <c r="CP33" s="1426"/>
      <c r="CQ33" s="1424"/>
      <c r="CR33" s="127"/>
    </row>
    <row r="34" spans="1:776" s="128" customFormat="1" ht="15" customHeight="1" x14ac:dyDescent="0.25">
      <c r="A34" s="1947" t="s">
        <v>1420</v>
      </c>
      <c r="B34" s="1947"/>
      <c r="C34" s="1947"/>
      <c r="D34" s="1947"/>
      <c r="E34" s="1947"/>
      <c r="F34" s="1947"/>
      <c r="G34" s="1947"/>
      <c r="H34" s="1947"/>
      <c r="I34" s="1947"/>
      <c r="J34" s="1947"/>
      <c r="K34" s="1947"/>
      <c r="L34" s="1947"/>
      <c r="M34" s="1947"/>
      <c r="N34" s="1947"/>
      <c r="O34" s="1947"/>
      <c r="P34" s="1947"/>
      <c r="Q34" s="1947"/>
      <c r="R34" s="1947"/>
      <c r="S34" s="1947"/>
      <c r="T34" s="1947"/>
      <c r="U34" s="1947"/>
      <c r="V34" s="1947"/>
      <c r="W34" s="1947"/>
      <c r="X34" s="1947"/>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row>
    <row r="35" spans="1:776" s="128" customFormat="1" ht="15" customHeight="1" x14ac:dyDescent="0.25">
      <c r="A35" s="1947" t="s">
        <v>1421</v>
      </c>
      <c r="B35" s="1947"/>
      <c r="C35" s="1947"/>
      <c r="D35" s="1947"/>
      <c r="E35" s="1947"/>
      <c r="F35" s="1947"/>
      <c r="G35" s="1947"/>
      <c r="H35" s="1947"/>
      <c r="I35" s="1947"/>
      <c r="J35" s="1947"/>
      <c r="K35" s="1947"/>
      <c r="L35" s="1947"/>
      <c r="M35" s="1947"/>
      <c r="N35" s="1947"/>
      <c r="O35" s="1947"/>
      <c r="P35" s="1947"/>
      <c r="Q35" s="1947"/>
      <c r="R35" s="1947"/>
      <c r="S35" s="1947"/>
      <c r="T35" s="1947"/>
      <c r="U35" s="1947"/>
      <c r="V35" s="1947"/>
      <c r="W35" s="1947"/>
      <c r="X35" s="1947"/>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row>
    <row r="36" spans="1:776" s="128" customFormat="1" ht="15" customHeight="1" x14ac:dyDescent="0.25">
      <c r="A36" s="29"/>
      <c r="B36" s="29"/>
      <c r="C36" s="29"/>
      <c r="D36" s="29"/>
      <c r="E36" s="29"/>
      <c r="F36" s="29"/>
      <c r="G36" s="29"/>
      <c r="H36" s="29"/>
      <c r="I36" s="29"/>
      <c r="J36" s="29"/>
      <c r="K36" s="29"/>
      <c r="L36" s="29"/>
      <c r="M36" s="29"/>
      <c r="N36" s="47"/>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row>
    <row r="37" spans="1:776" s="128" customFormat="1" ht="15" customHeight="1" x14ac:dyDescent="0.25">
      <c r="A37" s="1935" t="s">
        <v>1439</v>
      </c>
      <c r="B37" s="1935"/>
      <c r="C37" s="1935"/>
      <c r="D37" s="1935"/>
      <c r="E37" s="1935"/>
      <c r="F37" s="1935"/>
      <c r="G37" s="1935"/>
      <c r="H37" s="1935"/>
      <c r="I37" s="1935"/>
      <c r="J37" s="1468"/>
      <c r="K37" s="1468"/>
      <c r="L37" s="1468"/>
      <c r="M37" s="1468"/>
      <c r="N37" s="1468"/>
      <c r="O37" s="1468"/>
      <c r="P37" s="1953" t="s">
        <v>545</v>
      </c>
      <c r="Q37" s="1953"/>
      <c r="R37" s="1953"/>
      <c r="S37" s="1953"/>
      <c r="T37" s="1468"/>
      <c r="U37" s="1468"/>
      <c r="V37" s="1953" t="s">
        <v>546</v>
      </c>
      <c r="W37" s="1953"/>
      <c r="X37" s="1953"/>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row>
    <row r="38" spans="1:776" s="128" customFormat="1" ht="15" customHeight="1" x14ac:dyDescent="0.25">
      <c r="A38" s="29" t="s">
        <v>309</v>
      </c>
      <c r="B38" s="29"/>
      <c r="C38" s="29"/>
      <c r="D38" s="29"/>
      <c r="E38" s="29"/>
      <c r="F38" s="29"/>
      <c r="G38" s="29"/>
      <c r="H38" s="29" t="s">
        <v>307</v>
      </c>
      <c r="I38" s="29"/>
      <c r="J38" s="29"/>
      <c r="K38" s="29"/>
      <c r="L38" s="29"/>
      <c r="M38" s="29"/>
      <c r="N38" s="29"/>
      <c r="O38" s="29"/>
      <c r="P38" s="1938"/>
      <c r="Q38" s="1938"/>
      <c r="R38" s="1938"/>
      <c r="S38" s="632" t="s">
        <v>69</v>
      </c>
      <c r="T38" s="29"/>
      <c r="U38" s="29"/>
      <c r="V38" s="1944">
        <v>1200000</v>
      </c>
      <c r="W38" s="1944"/>
      <c r="X38" s="1944"/>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row>
    <row r="39" spans="1:776" s="128" customFormat="1" ht="15" customHeight="1" x14ac:dyDescent="0.25">
      <c r="A39" s="29" t="s">
        <v>310</v>
      </c>
      <c r="B39" s="29"/>
      <c r="C39" s="29"/>
      <c r="D39" s="29"/>
      <c r="E39" s="29"/>
      <c r="F39" s="29"/>
      <c r="G39" s="29"/>
      <c r="H39" s="29" t="s">
        <v>306</v>
      </c>
      <c r="I39" s="29"/>
      <c r="J39" s="29"/>
      <c r="K39" s="29"/>
      <c r="L39" s="29"/>
      <c r="M39" s="29"/>
      <c r="N39" s="29"/>
      <c r="O39" s="29"/>
      <c r="P39" s="1938"/>
      <c r="Q39" s="1938"/>
      <c r="R39" s="1938"/>
      <c r="S39" s="632" t="s">
        <v>69</v>
      </c>
      <c r="T39" s="29"/>
      <c r="U39" s="29"/>
      <c r="V39" s="1944"/>
      <c r="W39" s="1944"/>
      <c r="X39" s="1944"/>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row>
    <row r="40" spans="1:776" s="128" customFormat="1" ht="15" customHeight="1" x14ac:dyDescent="0.25">
      <c r="A40" s="29" t="s">
        <v>282</v>
      </c>
      <c r="B40" s="29"/>
      <c r="C40" s="29"/>
      <c r="D40" s="29"/>
      <c r="E40" s="29"/>
      <c r="F40" s="29"/>
      <c r="G40" s="29"/>
      <c r="H40" s="29" t="s">
        <v>339</v>
      </c>
      <c r="I40" s="29"/>
      <c r="J40" s="29"/>
      <c r="K40" s="29"/>
      <c r="L40" s="29"/>
      <c r="M40" s="29"/>
      <c r="N40" s="29"/>
      <c r="O40" s="29"/>
      <c r="P40" s="1938">
        <v>6000</v>
      </c>
      <c r="Q40" s="1938"/>
      <c r="R40" s="1938"/>
      <c r="S40" s="632" t="s">
        <v>69</v>
      </c>
      <c r="T40" s="29"/>
      <c r="U40" s="29"/>
      <c r="V40" s="1944">
        <v>1100000</v>
      </c>
      <c r="W40" s="1944"/>
      <c r="X40" s="1944"/>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row>
    <row r="41" spans="1:776" s="128" customFormat="1" ht="15" customHeight="1" x14ac:dyDescent="0.25">
      <c r="A41" s="29" t="s">
        <v>1440</v>
      </c>
      <c r="B41" s="29"/>
      <c r="C41" s="29"/>
      <c r="D41" s="29"/>
      <c r="E41" s="29"/>
      <c r="F41" s="29"/>
      <c r="G41" s="29"/>
      <c r="H41" s="29" t="s">
        <v>320</v>
      </c>
      <c r="I41" s="29"/>
      <c r="J41" s="29"/>
      <c r="K41" s="29"/>
      <c r="L41" s="29"/>
      <c r="M41" s="29"/>
      <c r="N41" s="29"/>
      <c r="O41" s="29"/>
      <c r="P41" s="1938">
        <v>5000</v>
      </c>
      <c r="Q41" s="1938"/>
      <c r="R41" s="1938"/>
      <c r="S41" s="632" t="s">
        <v>69</v>
      </c>
      <c r="T41" s="29"/>
      <c r="U41" s="29"/>
      <c r="V41" s="1944"/>
      <c r="W41" s="1944"/>
      <c r="X41" s="1944"/>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row>
    <row r="42" spans="1:776" s="128" customFormat="1" ht="15" customHeight="1" x14ac:dyDescent="0.25">
      <c r="A42" s="29" t="s">
        <v>360</v>
      </c>
      <c r="B42" s="29"/>
      <c r="C42" s="29"/>
      <c r="D42" s="29"/>
      <c r="E42" s="29"/>
      <c r="F42" s="29"/>
      <c r="G42" s="29"/>
      <c r="H42" s="29" t="s">
        <v>313</v>
      </c>
      <c r="I42" s="29"/>
      <c r="J42" s="29"/>
      <c r="K42" s="29"/>
      <c r="L42" s="29"/>
      <c r="M42" s="29"/>
      <c r="N42" s="29"/>
      <c r="O42" s="29"/>
      <c r="P42" s="1938"/>
      <c r="Q42" s="1938"/>
      <c r="R42" s="1938"/>
      <c r="S42" s="632" t="s">
        <v>69</v>
      </c>
      <c r="T42" s="29"/>
      <c r="U42" s="29"/>
      <c r="V42" s="1944"/>
      <c r="W42" s="1944"/>
      <c r="X42" s="1944"/>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row>
    <row r="43" spans="1:776" s="128" customFormat="1" ht="15" customHeight="1" x14ac:dyDescent="0.25">
      <c r="A43" s="29" t="s">
        <v>315</v>
      </c>
      <c r="B43" s="29"/>
      <c r="C43" s="29"/>
      <c r="D43" s="29"/>
      <c r="E43" s="29"/>
      <c r="F43" s="29"/>
      <c r="G43" s="29"/>
      <c r="H43" s="29" t="s">
        <v>314</v>
      </c>
      <c r="I43" s="29"/>
      <c r="J43" s="29"/>
      <c r="K43" s="29"/>
      <c r="L43" s="29"/>
      <c r="M43" s="29"/>
      <c r="N43" s="29"/>
      <c r="O43" s="29"/>
      <c r="P43" s="1938"/>
      <c r="Q43" s="1938"/>
      <c r="R43" s="1938"/>
      <c r="S43" s="632" t="s">
        <v>69</v>
      </c>
      <c r="T43" s="29"/>
      <c r="U43" s="29"/>
      <c r="V43" s="1944"/>
      <c r="W43" s="1944"/>
      <c r="X43" s="1944"/>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row>
    <row r="44" spans="1:776" s="1471" customFormat="1" ht="15" customHeight="1" x14ac:dyDescent="0.25">
      <c r="A44" s="1469" t="s">
        <v>366</v>
      </c>
      <c r="B44" s="1469"/>
      <c r="C44" s="1469"/>
      <c r="D44" s="1469"/>
      <c r="E44" s="1469"/>
      <c r="F44" s="1469"/>
      <c r="G44" s="1469"/>
      <c r="H44" s="1469"/>
      <c r="I44" s="1469"/>
      <c r="J44" s="1469"/>
      <c r="K44" s="1469"/>
      <c r="L44" s="1469"/>
      <c r="M44" s="1469"/>
      <c r="N44" s="1469"/>
      <c r="O44" s="1469"/>
      <c r="P44" s="1936">
        <f>AVERAGE(P38:R43)</f>
        <v>5500</v>
      </c>
      <c r="Q44" s="1936">
        <v>10000</v>
      </c>
      <c r="R44" s="1936"/>
      <c r="S44" s="1469" t="s">
        <v>69</v>
      </c>
      <c r="T44" s="1469"/>
      <c r="U44" s="1469"/>
      <c r="V44" s="1936">
        <f>AVERAGE(V38:X43)</f>
        <v>1150000</v>
      </c>
      <c r="W44" s="1936"/>
      <c r="X44" s="1936"/>
      <c r="Y44" s="1470"/>
      <c r="Z44" s="1470"/>
      <c r="AA44" s="1470"/>
      <c r="AB44" s="1470"/>
      <c r="AC44" s="1470"/>
      <c r="AD44" s="1470"/>
      <c r="AE44" s="1470"/>
      <c r="AF44" s="1470"/>
      <c r="AG44" s="1470"/>
      <c r="AH44" s="1470"/>
      <c r="AI44" s="1470"/>
      <c r="AJ44" s="1470"/>
      <c r="AK44" s="1470"/>
      <c r="AL44" s="1470"/>
      <c r="AM44" s="1470"/>
      <c r="AN44" s="1470"/>
      <c r="AO44" s="1470"/>
      <c r="AP44" s="1470"/>
      <c r="AQ44" s="1470"/>
      <c r="AR44" s="1470"/>
      <c r="AS44" s="1470"/>
      <c r="AT44" s="1470"/>
      <c r="AU44" s="1470"/>
      <c r="AV44" s="1470"/>
      <c r="AW44" s="1470"/>
      <c r="AX44" s="1470"/>
      <c r="AY44" s="1470"/>
      <c r="AZ44" s="1470"/>
      <c r="BA44" s="1470"/>
      <c r="BB44" s="1470"/>
      <c r="BC44" s="1470"/>
      <c r="BD44" s="1470"/>
      <c r="BE44" s="1470"/>
      <c r="BF44" s="1470"/>
      <c r="BG44" s="1470"/>
      <c r="BH44" s="1470"/>
      <c r="BI44" s="1470"/>
      <c r="BJ44" s="1470"/>
      <c r="BK44" s="1470"/>
      <c r="BL44" s="1470"/>
      <c r="BM44" s="1470"/>
      <c r="BN44" s="1470"/>
      <c r="BO44" s="1470"/>
      <c r="BP44" s="1470"/>
      <c r="BQ44" s="1470"/>
      <c r="BR44" s="1470"/>
      <c r="BS44" s="1470"/>
      <c r="BT44" s="1470"/>
      <c r="BU44" s="1470"/>
      <c r="BV44" s="1470"/>
      <c r="BW44" s="1470"/>
      <c r="BX44" s="1470"/>
      <c r="BY44" s="1470"/>
      <c r="BZ44" s="1470"/>
      <c r="CA44" s="1470"/>
      <c r="CB44" s="1470"/>
      <c r="CC44" s="1470"/>
      <c r="CD44" s="1470"/>
      <c r="CE44" s="1470"/>
      <c r="CF44" s="1470"/>
      <c r="CG44" s="1470"/>
      <c r="CH44" s="1470"/>
      <c r="CI44" s="1470"/>
      <c r="CJ44" s="1470"/>
      <c r="CK44" s="1470"/>
      <c r="CL44" s="1470"/>
      <c r="CM44" s="1470"/>
      <c r="CN44" s="1470"/>
      <c r="CO44" s="1470"/>
      <c r="CP44" s="1470"/>
      <c r="CQ44" s="1470"/>
      <c r="CR44" s="1470"/>
      <c r="CS44" s="1470"/>
      <c r="CT44" s="1470"/>
      <c r="CU44" s="1470"/>
      <c r="CV44" s="1470"/>
      <c r="CW44" s="1470"/>
      <c r="CX44" s="1470"/>
      <c r="CY44" s="1470"/>
      <c r="CZ44" s="1470"/>
      <c r="DA44" s="1470"/>
      <c r="DB44" s="1470"/>
      <c r="DC44" s="1470"/>
      <c r="DD44" s="1470"/>
      <c r="DE44" s="1470"/>
      <c r="DF44" s="1470"/>
      <c r="DG44" s="1470"/>
      <c r="DH44" s="1470"/>
      <c r="DI44" s="1470"/>
      <c r="DJ44" s="1470"/>
      <c r="DK44" s="1470"/>
      <c r="DL44" s="1470"/>
      <c r="DM44" s="1470"/>
      <c r="DN44" s="1470"/>
      <c r="DO44" s="1470"/>
      <c r="DP44" s="1470"/>
      <c r="DQ44" s="1470"/>
      <c r="DR44" s="1470"/>
      <c r="DS44" s="1470"/>
      <c r="DT44" s="1470"/>
      <c r="DU44" s="1470"/>
      <c r="DV44" s="1470"/>
      <c r="DW44" s="1470"/>
      <c r="DX44" s="1470"/>
      <c r="DY44" s="1470"/>
      <c r="DZ44" s="1470"/>
      <c r="EA44" s="1470"/>
      <c r="EB44" s="1470"/>
      <c r="EC44" s="1470"/>
      <c r="ED44" s="1470"/>
      <c r="EE44" s="1470"/>
      <c r="EF44" s="1470"/>
      <c r="EG44" s="1470"/>
      <c r="EH44" s="1470"/>
      <c r="EI44" s="1470"/>
      <c r="EJ44" s="1470"/>
      <c r="EK44" s="1470"/>
      <c r="EL44" s="1470"/>
      <c r="EM44" s="1470"/>
      <c r="EN44" s="1470"/>
      <c r="EO44" s="1470"/>
      <c r="EP44" s="1470"/>
      <c r="EQ44" s="1470"/>
      <c r="ER44" s="1470"/>
      <c r="ES44" s="1470"/>
      <c r="ET44" s="1470"/>
      <c r="EU44" s="1470"/>
      <c r="EV44" s="1470"/>
      <c r="EW44" s="1470"/>
      <c r="EX44" s="1470"/>
      <c r="EY44" s="1470"/>
      <c r="EZ44" s="1470"/>
      <c r="FA44" s="1470"/>
      <c r="FB44" s="1470"/>
      <c r="FC44" s="1470"/>
      <c r="FD44" s="1470"/>
      <c r="FE44" s="1470"/>
      <c r="FF44" s="1470"/>
      <c r="FG44" s="1470"/>
      <c r="FH44" s="1470"/>
      <c r="FI44" s="1470"/>
      <c r="FJ44" s="1470"/>
      <c r="FK44" s="1470"/>
      <c r="FL44" s="1470"/>
      <c r="FM44" s="1470"/>
      <c r="FN44" s="1470"/>
      <c r="FO44" s="1470"/>
      <c r="FP44" s="1470"/>
      <c r="FQ44" s="1470"/>
      <c r="FR44" s="1470"/>
      <c r="FS44" s="1470"/>
      <c r="FT44" s="1470"/>
      <c r="FU44" s="1470"/>
      <c r="FV44" s="1470"/>
      <c r="FW44" s="1470"/>
      <c r="FX44" s="1470"/>
      <c r="FY44" s="1470"/>
      <c r="FZ44" s="1470"/>
      <c r="GA44" s="1470"/>
      <c r="GB44" s="1470"/>
      <c r="GC44" s="1470"/>
      <c r="GD44" s="1470"/>
      <c r="GE44" s="1470"/>
      <c r="GF44" s="1470"/>
      <c r="GG44" s="1470"/>
      <c r="GH44" s="1470"/>
      <c r="GI44" s="1470"/>
      <c r="GJ44" s="1470"/>
      <c r="GK44" s="1470"/>
      <c r="GL44" s="1470"/>
      <c r="GM44" s="1470"/>
      <c r="GN44" s="1470"/>
      <c r="GO44" s="1470"/>
      <c r="GP44" s="1470"/>
      <c r="GQ44" s="1470"/>
      <c r="GR44" s="1470"/>
      <c r="GS44" s="1470"/>
      <c r="GT44" s="1470"/>
      <c r="GU44" s="1470"/>
      <c r="GV44" s="1470"/>
      <c r="GW44" s="1470"/>
      <c r="GX44" s="1470"/>
      <c r="GY44" s="1470"/>
      <c r="GZ44" s="1470"/>
      <c r="HA44" s="1470"/>
      <c r="HB44" s="1470"/>
      <c r="HC44" s="1470"/>
      <c r="HD44" s="1470"/>
      <c r="HE44" s="1470"/>
      <c r="HF44" s="1470"/>
      <c r="HG44" s="1470"/>
      <c r="HH44" s="1470"/>
      <c r="HI44" s="1470"/>
      <c r="HJ44" s="1470"/>
      <c r="HK44" s="1470"/>
      <c r="HL44" s="1470"/>
      <c r="HM44" s="1470"/>
      <c r="HN44" s="1470"/>
      <c r="HO44" s="1470"/>
      <c r="HP44" s="1470"/>
      <c r="HQ44" s="1470"/>
      <c r="HR44" s="1470"/>
      <c r="HS44" s="1470"/>
      <c r="HT44" s="1470"/>
      <c r="HU44" s="1470"/>
      <c r="HV44" s="1470"/>
      <c r="HW44" s="1470"/>
      <c r="HX44" s="1470"/>
      <c r="HY44" s="1470"/>
      <c r="HZ44" s="1470"/>
      <c r="IA44" s="1470"/>
      <c r="IB44" s="1470"/>
      <c r="IC44" s="1470"/>
      <c r="ID44" s="1470"/>
      <c r="IE44" s="1470"/>
      <c r="IF44" s="1470"/>
      <c r="IG44" s="1470"/>
      <c r="IH44" s="1470"/>
      <c r="II44" s="1470"/>
      <c r="IJ44" s="1470"/>
      <c r="IK44" s="1470"/>
      <c r="IL44" s="1470"/>
      <c r="IM44" s="1470"/>
      <c r="IN44" s="1470"/>
      <c r="IO44" s="1470"/>
      <c r="IP44" s="1470"/>
      <c r="IQ44" s="1470"/>
      <c r="IR44" s="1470"/>
      <c r="IS44" s="1470"/>
      <c r="IT44" s="1470"/>
      <c r="IU44" s="1470"/>
      <c r="IV44" s="1470"/>
      <c r="IW44" s="1470"/>
      <c r="IX44" s="1470"/>
      <c r="IY44" s="1470"/>
      <c r="IZ44" s="1470"/>
      <c r="JA44" s="1470"/>
      <c r="JB44" s="1470"/>
      <c r="JC44" s="1470"/>
      <c r="JD44" s="1470"/>
      <c r="JE44" s="1470"/>
      <c r="JF44" s="1470"/>
      <c r="JG44" s="1470"/>
      <c r="JH44" s="1470"/>
      <c r="JI44" s="1470"/>
      <c r="JJ44" s="1470"/>
      <c r="JK44" s="1470"/>
      <c r="JL44" s="1470"/>
      <c r="JM44" s="1470"/>
      <c r="JN44" s="1470"/>
      <c r="JO44" s="1470"/>
      <c r="JP44" s="1470"/>
      <c r="JQ44" s="1470"/>
      <c r="JR44" s="1470"/>
      <c r="JS44" s="1470"/>
      <c r="JT44" s="1470"/>
      <c r="JU44" s="1470"/>
      <c r="JV44" s="1470"/>
      <c r="JW44" s="1470"/>
      <c r="JX44" s="1470"/>
      <c r="JY44" s="1470"/>
      <c r="JZ44" s="1470"/>
      <c r="KA44" s="1470"/>
      <c r="KB44" s="1470"/>
      <c r="KC44" s="1470"/>
      <c r="KD44" s="1470"/>
      <c r="KE44" s="1470"/>
      <c r="KF44" s="1470"/>
      <c r="KG44" s="1470"/>
      <c r="KH44" s="1470"/>
      <c r="KI44" s="1470"/>
      <c r="KJ44" s="1470"/>
      <c r="KK44" s="1470"/>
      <c r="KL44" s="1470"/>
      <c r="KM44" s="1470"/>
      <c r="KN44" s="1470"/>
      <c r="KO44" s="1470"/>
      <c r="KP44" s="1470"/>
      <c r="KQ44" s="1470"/>
      <c r="KR44" s="1470"/>
      <c r="KS44" s="1470"/>
      <c r="KT44" s="1470"/>
      <c r="KU44" s="1470"/>
      <c r="KV44" s="1470"/>
      <c r="KW44" s="1470"/>
      <c r="KX44" s="1470"/>
      <c r="KY44" s="1470"/>
      <c r="KZ44" s="1470"/>
      <c r="LA44" s="1470"/>
      <c r="LB44" s="1470"/>
      <c r="LC44" s="1470"/>
      <c r="LD44" s="1470"/>
      <c r="LE44" s="1470"/>
      <c r="LF44" s="1470"/>
      <c r="LG44" s="1470"/>
      <c r="LH44" s="1470"/>
      <c r="LI44" s="1470"/>
      <c r="LJ44" s="1470"/>
      <c r="LK44" s="1470"/>
      <c r="LL44" s="1470"/>
      <c r="LM44" s="1470"/>
      <c r="LN44" s="1470"/>
      <c r="LO44" s="1470"/>
      <c r="LP44" s="1470"/>
      <c r="LQ44" s="1470"/>
      <c r="LR44" s="1470"/>
      <c r="LS44" s="1470"/>
      <c r="LT44" s="1470"/>
      <c r="LU44" s="1470"/>
      <c r="LV44" s="1470"/>
      <c r="LW44" s="1470"/>
      <c r="LX44" s="1470"/>
      <c r="LY44" s="1470"/>
      <c r="LZ44" s="1470"/>
      <c r="MA44" s="1470"/>
      <c r="MB44" s="1470"/>
      <c r="MC44" s="1470"/>
      <c r="MD44" s="1470"/>
      <c r="ME44" s="1470"/>
      <c r="MF44" s="1470"/>
      <c r="MG44" s="1470"/>
      <c r="MH44" s="1470"/>
      <c r="MI44" s="1470"/>
      <c r="MJ44" s="1470"/>
      <c r="MK44" s="1470"/>
      <c r="ML44" s="1470"/>
      <c r="MM44" s="1470"/>
      <c r="MN44" s="1470"/>
      <c r="MO44" s="1470"/>
      <c r="MP44" s="1470"/>
      <c r="MQ44" s="1470"/>
      <c r="MR44" s="1470"/>
      <c r="MS44" s="1470"/>
      <c r="MT44" s="1470"/>
      <c r="MU44" s="1470"/>
      <c r="MV44" s="1470"/>
      <c r="MW44" s="1470"/>
      <c r="MX44" s="1470"/>
      <c r="MY44" s="1470"/>
      <c r="MZ44" s="1470"/>
      <c r="NA44" s="1470"/>
      <c r="NB44" s="1470"/>
      <c r="NC44" s="1470"/>
      <c r="ND44" s="1470"/>
      <c r="NE44" s="1470"/>
      <c r="NF44" s="1470"/>
      <c r="NG44" s="1470"/>
      <c r="NH44" s="1470"/>
      <c r="NI44" s="1470"/>
      <c r="NJ44" s="1470"/>
      <c r="NK44" s="1470"/>
      <c r="NL44" s="1470"/>
      <c r="NM44" s="1470"/>
      <c r="NN44" s="1470"/>
      <c r="NO44" s="1470"/>
      <c r="NP44" s="1470"/>
      <c r="NQ44" s="1470"/>
      <c r="NR44" s="1470"/>
      <c r="NS44" s="1470"/>
      <c r="NT44" s="1470"/>
      <c r="NU44" s="1470"/>
      <c r="NV44" s="1470"/>
      <c r="NW44" s="1470"/>
      <c r="NX44" s="1470"/>
      <c r="NY44" s="1470"/>
      <c r="NZ44" s="1470"/>
      <c r="OA44" s="1470"/>
      <c r="OB44" s="1470"/>
      <c r="OC44" s="1470"/>
      <c r="OD44" s="1470"/>
      <c r="OE44" s="1470"/>
      <c r="OF44" s="1470"/>
      <c r="OG44" s="1470"/>
      <c r="OH44" s="1470"/>
      <c r="OI44" s="1470"/>
      <c r="OJ44" s="1470"/>
      <c r="OK44" s="1470"/>
      <c r="OL44" s="1470"/>
      <c r="OM44" s="1470"/>
      <c r="ON44" s="1470"/>
      <c r="OO44" s="1470"/>
      <c r="OP44" s="1470"/>
      <c r="OQ44" s="1470"/>
      <c r="OR44" s="1470"/>
      <c r="OS44" s="1470"/>
      <c r="OT44" s="1470"/>
      <c r="OU44" s="1470"/>
      <c r="OV44" s="1470"/>
      <c r="OW44" s="1470"/>
      <c r="OX44" s="1470"/>
      <c r="OY44" s="1470"/>
      <c r="OZ44" s="1470"/>
      <c r="PA44" s="1470"/>
      <c r="PB44" s="1470"/>
      <c r="PC44" s="1470"/>
      <c r="PD44" s="1470"/>
      <c r="PE44" s="1470"/>
      <c r="PF44" s="1470"/>
      <c r="PG44" s="1470"/>
      <c r="PH44" s="1470"/>
      <c r="PI44" s="1470"/>
      <c r="PJ44" s="1470"/>
      <c r="PK44" s="1470"/>
      <c r="PL44" s="1470"/>
      <c r="PM44" s="1470"/>
      <c r="PN44" s="1470"/>
      <c r="PO44" s="1470"/>
      <c r="PP44" s="1470"/>
      <c r="PQ44" s="1470"/>
      <c r="PR44" s="1470"/>
      <c r="PS44" s="1470"/>
      <c r="PT44" s="1470"/>
      <c r="PU44" s="1470"/>
      <c r="PV44" s="1470"/>
      <c r="PW44" s="1470"/>
      <c r="PX44" s="1470"/>
      <c r="PY44" s="1470"/>
      <c r="PZ44" s="1470"/>
      <c r="QA44" s="1470"/>
      <c r="QB44" s="1470"/>
      <c r="QC44" s="1470"/>
      <c r="QD44" s="1470"/>
      <c r="QE44" s="1470"/>
      <c r="QF44" s="1470"/>
      <c r="QG44" s="1470"/>
      <c r="QH44" s="1470"/>
      <c r="QI44" s="1470"/>
      <c r="QJ44" s="1470"/>
      <c r="QK44" s="1470"/>
      <c r="QL44" s="1470"/>
      <c r="QM44" s="1470"/>
      <c r="QN44" s="1470"/>
      <c r="QO44" s="1470"/>
      <c r="QP44" s="1470"/>
      <c r="QQ44" s="1470"/>
      <c r="QR44" s="1470"/>
      <c r="QS44" s="1470"/>
      <c r="QT44" s="1470"/>
      <c r="QU44" s="1470"/>
      <c r="QV44" s="1470"/>
      <c r="QW44" s="1470"/>
      <c r="QX44" s="1470"/>
      <c r="QY44" s="1470"/>
      <c r="QZ44" s="1470"/>
      <c r="RA44" s="1470"/>
      <c r="RB44" s="1470"/>
      <c r="RC44" s="1470"/>
      <c r="RD44" s="1470"/>
      <c r="RE44" s="1470"/>
      <c r="RF44" s="1470"/>
      <c r="RG44" s="1470"/>
      <c r="RH44" s="1470"/>
      <c r="RI44" s="1470"/>
      <c r="RJ44" s="1470"/>
      <c r="RK44" s="1470"/>
      <c r="RL44" s="1470"/>
      <c r="RM44" s="1470"/>
      <c r="RN44" s="1470"/>
      <c r="RO44" s="1470"/>
      <c r="RP44" s="1470"/>
      <c r="RQ44" s="1470"/>
      <c r="RR44" s="1470"/>
      <c r="RS44" s="1470"/>
      <c r="RT44" s="1470"/>
      <c r="RU44" s="1470"/>
      <c r="RV44" s="1470"/>
      <c r="RW44" s="1470"/>
      <c r="RX44" s="1470"/>
      <c r="RY44" s="1470"/>
      <c r="RZ44" s="1470"/>
      <c r="SA44" s="1470"/>
      <c r="SB44" s="1470"/>
      <c r="SC44" s="1470"/>
      <c r="SD44" s="1470"/>
      <c r="SE44" s="1470"/>
      <c r="SF44" s="1470"/>
      <c r="SG44" s="1470"/>
      <c r="SH44" s="1470"/>
      <c r="SI44" s="1470"/>
      <c r="SJ44" s="1470"/>
      <c r="SK44" s="1470"/>
      <c r="SL44" s="1470"/>
      <c r="SM44" s="1470"/>
      <c r="SN44" s="1470"/>
      <c r="SO44" s="1470"/>
      <c r="SP44" s="1470"/>
      <c r="SQ44" s="1470"/>
      <c r="SR44" s="1470"/>
      <c r="SS44" s="1470"/>
      <c r="ST44" s="1470"/>
      <c r="SU44" s="1470"/>
      <c r="SV44" s="1470"/>
      <c r="SW44" s="1470"/>
      <c r="SX44" s="1470"/>
      <c r="SY44" s="1470"/>
      <c r="SZ44" s="1470"/>
      <c r="TA44" s="1470"/>
      <c r="TB44" s="1470"/>
      <c r="TC44" s="1470"/>
      <c r="TD44" s="1470"/>
      <c r="TE44" s="1470"/>
      <c r="TF44" s="1470"/>
      <c r="TG44" s="1470"/>
      <c r="TH44" s="1470"/>
      <c r="TI44" s="1470"/>
      <c r="TJ44" s="1470"/>
      <c r="TK44" s="1470"/>
      <c r="TL44" s="1470"/>
      <c r="TM44" s="1470"/>
      <c r="TN44" s="1470"/>
      <c r="TO44" s="1470"/>
      <c r="TP44" s="1470"/>
      <c r="TQ44" s="1470"/>
      <c r="TR44" s="1470"/>
      <c r="TS44" s="1470"/>
      <c r="TT44" s="1470"/>
      <c r="TU44" s="1470"/>
      <c r="TV44" s="1470"/>
      <c r="TW44" s="1470"/>
      <c r="TX44" s="1470"/>
      <c r="TY44" s="1470"/>
      <c r="TZ44" s="1470"/>
      <c r="UA44" s="1470"/>
      <c r="UB44" s="1470"/>
      <c r="UC44" s="1470"/>
      <c r="UD44" s="1470"/>
      <c r="UE44" s="1470"/>
      <c r="UF44" s="1470"/>
      <c r="UG44" s="1470"/>
      <c r="UH44" s="1470"/>
      <c r="UI44" s="1470"/>
      <c r="UJ44" s="1470"/>
      <c r="UK44" s="1470"/>
      <c r="UL44" s="1470"/>
      <c r="UM44" s="1470"/>
      <c r="UN44" s="1470"/>
      <c r="UO44" s="1470"/>
      <c r="UP44" s="1470"/>
      <c r="UQ44" s="1470"/>
      <c r="UR44" s="1470"/>
      <c r="US44" s="1470"/>
      <c r="UT44" s="1470"/>
      <c r="UU44" s="1470"/>
      <c r="UV44" s="1470"/>
      <c r="UW44" s="1470"/>
      <c r="UX44" s="1470"/>
      <c r="UY44" s="1470"/>
      <c r="UZ44" s="1470"/>
      <c r="VA44" s="1470"/>
      <c r="VB44" s="1470"/>
      <c r="VC44" s="1470"/>
      <c r="VD44" s="1470"/>
      <c r="VE44" s="1470"/>
      <c r="VF44" s="1470"/>
      <c r="VG44" s="1470"/>
      <c r="VH44" s="1470"/>
      <c r="VI44" s="1470"/>
      <c r="VJ44" s="1470"/>
      <c r="VK44" s="1470"/>
      <c r="VL44" s="1470"/>
      <c r="VM44" s="1470"/>
      <c r="VN44" s="1470"/>
      <c r="VO44" s="1470"/>
      <c r="VP44" s="1470"/>
      <c r="VQ44" s="1470"/>
      <c r="VR44" s="1470"/>
      <c r="VS44" s="1470"/>
      <c r="VT44" s="1470"/>
      <c r="VU44" s="1470"/>
      <c r="VV44" s="1470"/>
      <c r="VW44" s="1470"/>
      <c r="VX44" s="1470"/>
      <c r="VY44" s="1470"/>
      <c r="VZ44" s="1470"/>
      <c r="WA44" s="1470"/>
      <c r="WB44" s="1470"/>
      <c r="WC44" s="1470"/>
      <c r="WD44" s="1470"/>
      <c r="WE44" s="1470"/>
      <c r="WF44" s="1470"/>
      <c r="WG44" s="1470"/>
      <c r="WH44" s="1470"/>
      <c r="WI44" s="1470"/>
      <c r="WJ44" s="1470"/>
      <c r="WK44" s="1470"/>
      <c r="WL44" s="1470"/>
      <c r="WM44" s="1470"/>
      <c r="WN44" s="1470"/>
      <c r="WO44" s="1470"/>
      <c r="WP44" s="1470"/>
      <c r="WQ44" s="1470"/>
      <c r="WR44" s="1470"/>
      <c r="WS44" s="1470"/>
      <c r="WT44" s="1470"/>
      <c r="WU44" s="1470"/>
      <c r="WV44" s="1470"/>
      <c r="WW44" s="1470"/>
      <c r="WX44" s="1470"/>
      <c r="WY44" s="1470"/>
      <c r="WZ44" s="1470"/>
      <c r="XA44" s="1470"/>
      <c r="XB44" s="1470"/>
      <c r="XC44" s="1470"/>
      <c r="XD44" s="1470"/>
      <c r="XE44" s="1470"/>
      <c r="XF44" s="1470"/>
      <c r="XG44" s="1470"/>
      <c r="XH44" s="1470"/>
      <c r="XI44" s="1470"/>
      <c r="XJ44" s="1470"/>
      <c r="XK44" s="1470"/>
      <c r="XL44" s="1470"/>
      <c r="XM44" s="1470"/>
      <c r="XN44" s="1470"/>
      <c r="XO44" s="1470"/>
      <c r="XP44" s="1470"/>
      <c r="XQ44" s="1470"/>
      <c r="XR44" s="1470"/>
      <c r="XS44" s="1470"/>
      <c r="XT44" s="1470"/>
      <c r="XU44" s="1470"/>
      <c r="XV44" s="1470"/>
      <c r="XW44" s="1470"/>
      <c r="XX44" s="1470"/>
      <c r="XY44" s="1470"/>
      <c r="XZ44" s="1470"/>
      <c r="YA44" s="1470"/>
      <c r="YB44" s="1470"/>
      <c r="YC44" s="1470"/>
      <c r="YD44" s="1470"/>
      <c r="YE44" s="1470"/>
      <c r="YF44" s="1470"/>
      <c r="YG44" s="1470"/>
      <c r="YH44" s="1470"/>
      <c r="YI44" s="1470"/>
      <c r="YJ44" s="1470"/>
      <c r="YK44" s="1470"/>
      <c r="YL44" s="1470"/>
      <c r="YM44" s="1470"/>
      <c r="YN44" s="1470"/>
      <c r="YO44" s="1470"/>
      <c r="YP44" s="1470"/>
      <c r="YQ44" s="1470"/>
      <c r="YR44" s="1470"/>
      <c r="YS44" s="1470"/>
      <c r="YT44" s="1470"/>
      <c r="YU44" s="1470"/>
      <c r="YV44" s="1470"/>
      <c r="YW44" s="1470"/>
      <c r="YX44" s="1470"/>
      <c r="YY44" s="1470"/>
      <c r="YZ44" s="1470"/>
      <c r="ZA44" s="1470"/>
      <c r="ZB44" s="1470"/>
      <c r="ZC44" s="1470"/>
      <c r="ZD44" s="1470"/>
      <c r="ZE44" s="1470"/>
      <c r="ZF44" s="1470"/>
      <c r="ZG44" s="1470"/>
      <c r="ZH44" s="1470"/>
      <c r="ZI44" s="1470"/>
      <c r="ZJ44" s="1470"/>
      <c r="ZK44" s="1470"/>
      <c r="ZL44" s="1470"/>
      <c r="ZM44" s="1470"/>
      <c r="ZN44" s="1470"/>
      <c r="ZO44" s="1470"/>
      <c r="ZP44" s="1470"/>
      <c r="ZQ44" s="1470"/>
      <c r="ZR44" s="1470"/>
      <c r="ZS44" s="1470"/>
      <c r="ZT44" s="1470"/>
      <c r="ZU44" s="1470"/>
      <c r="ZV44" s="1470"/>
      <c r="ZW44" s="1470"/>
      <c r="ZX44" s="1470"/>
      <c r="ZY44" s="1470"/>
      <c r="ZZ44" s="1470"/>
      <c r="AAA44" s="1470"/>
      <c r="AAB44" s="1470"/>
      <c r="AAC44" s="1470"/>
      <c r="AAD44" s="1470"/>
      <c r="AAE44" s="1470"/>
      <c r="AAF44" s="1470"/>
      <c r="AAG44" s="1470"/>
      <c r="AAH44" s="1470"/>
      <c r="AAI44" s="1470"/>
      <c r="AAJ44" s="1470"/>
      <c r="AAK44" s="1470"/>
      <c r="AAL44" s="1470"/>
      <c r="AAM44" s="1470"/>
      <c r="AAN44" s="1470"/>
      <c r="AAO44" s="1470"/>
      <c r="AAP44" s="1470"/>
      <c r="AAQ44" s="1470"/>
      <c r="AAR44" s="1470"/>
      <c r="AAS44" s="1470"/>
      <c r="AAT44" s="1470"/>
      <c r="AAU44" s="1470"/>
      <c r="AAV44" s="1470"/>
      <c r="AAW44" s="1470"/>
      <c r="AAX44" s="1470"/>
      <c r="AAY44" s="1470"/>
      <c r="AAZ44" s="1470"/>
      <c r="ABA44" s="1470"/>
      <c r="ABB44" s="1470"/>
      <c r="ABC44" s="1470"/>
      <c r="ABD44" s="1470"/>
      <c r="ABE44" s="1470"/>
      <c r="ABF44" s="1470"/>
      <c r="ABG44" s="1470"/>
      <c r="ABH44" s="1470"/>
      <c r="ABI44" s="1470"/>
      <c r="ABJ44" s="1470"/>
      <c r="ABK44" s="1470"/>
      <c r="ABL44" s="1470"/>
      <c r="ABM44" s="1470"/>
      <c r="ABN44" s="1470"/>
      <c r="ABO44" s="1470"/>
      <c r="ABP44" s="1470"/>
      <c r="ABQ44" s="1470"/>
      <c r="ABR44" s="1470"/>
      <c r="ABS44" s="1470"/>
      <c r="ABT44" s="1470"/>
      <c r="ABU44" s="1470"/>
      <c r="ABV44" s="1470"/>
      <c r="ABW44" s="1470"/>
      <c r="ABX44" s="1470"/>
      <c r="ABY44" s="1470"/>
      <c r="ABZ44" s="1470"/>
      <c r="ACA44" s="1470"/>
      <c r="ACB44" s="1470"/>
      <c r="ACC44" s="1470"/>
      <c r="ACD44" s="1470"/>
      <c r="ACE44" s="1470"/>
      <c r="ACF44" s="1470"/>
      <c r="ACG44" s="1470"/>
      <c r="ACH44" s="1470"/>
      <c r="ACI44" s="1470"/>
      <c r="ACJ44" s="1470"/>
      <c r="ACK44" s="1470"/>
      <c r="ACL44" s="1470"/>
      <c r="ACM44" s="1470"/>
      <c r="ACN44" s="1470"/>
      <c r="ACO44" s="1470"/>
      <c r="ACP44" s="1470"/>
      <c r="ACQ44" s="1470"/>
      <c r="ACR44" s="1470"/>
      <c r="ACS44" s="1470"/>
      <c r="ACT44" s="1470"/>
      <c r="ACU44" s="1470"/>
      <c r="ACV44" s="1470"/>
    </row>
    <row r="45" spans="1:776" s="128" customFormat="1" ht="1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row>
    <row r="46" spans="1:776" s="128" customFormat="1" ht="1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row>
    <row r="47" spans="1:776" s="128" customFormat="1" ht="1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row>
    <row r="48" spans="1:776" s="128" customFormat="1" ht="1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c r="JZ48" s="29"/>
      <c r="KA48" s="29"/>
      <c r="KB48" s="29"/>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c r="LP48" s="29"/>
      <c r="LQ48" s="29"/>
      <c r="LR48" s="29"/>
      <c r="LS48" s="29"/>
      <c r="LT48" s="29"/>
      <c r="LU48" s="29"/>
      <c r="LV48" s="29"/>
      <c r="LW48" s="29"/>
      <c r="LX48" s="29"/>
      <c r="LY48" s="29"/>
      <c r="LZ48" s="29"/>
      <c r="MA48" s="29"/>
      <c r="MB48" s="29"/>
      <c r="MC48" s="29"/>
      <c r="MD48" s="29"/>
      <c r="ME48" s="29"/>
      <c r="MF48" s="29"/>
      <c r="MG48" s="29"/>
      <c r="MH48" s="29"/>
      <c r="MI48" s="29"/>
      <c r="MJ48" s="29"/>
      <c r="MK48" s="29"/>
      <c r="ML48" s="29"/>
      <c r="MM48" s="29"/>
      <c r="MN48" s="29"/>
      <c r="MO48" s="29"/>
      <c r="MP48" s="29"/>
      <c r="MQ48" s="29"/>
      <c r="MR48" s="29"/>
      <c r="MS48" s="29"/>
      <c r="MT48" s="29"/>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29"/>
      <c r="QE48" s="29"/>
      <c r="QF48" s="29"/>
      <c r="QG48" s="29"/>
      <c r="QH48" s="29"/>
      <c r="QI48" s="29"/>
      <c r="QJ48" s="29"/>
      <c r="QK48" s="29"/>
      <c r="QL48" s="29"/>
      <c r="QM48" s="29"/>
      <c r="QN48" s="29"/>
      <c r="QO48" s="29"/>
      <c r="QP48" s="29"/>
      <c r="QQ48" s="29"/>
      <c r="QR48" s="29"/>
      <c r="QS48" s="29"/>
      <c r="QT48" s="29"/>
      <c r="QU48" s="29"/>
      <c r="QV48" s="29"/>
      <c r="QW48" s="29"/>
      <c r="QX48" s="29"/>
      <c r="QY48" s="29"/>
      <c r="QZ48" s="29"/>
      <c r="RA48" s="29"/>
      <c r="RB48" s="29"/>
      <c r="RC48" s="29"/>
      <c r="RD48" s="29"/>
      <c r="RE48" s="29"/>
      <c r="RF48" s="29"/>
      <c r="RG48" s="29"/>
      <c r="RH48" s="29"/>
      <c r="RI48" s="29"/>
      <c r="RJ48" s="29"/>
      <c r="RK48" s="29"/>
      <c r="RL48" s="29"/>
      <c r="RM48" s="29"/>
      <c r="RN48" s="29"/>
      <c r="RO48" s="29"/>
      <c r="RP48" s="29"/>
      <c r="RQ48" s="29"/>
      <c r="RR48" s="29"/>
      <c r="RS48" s="29"/>
      <c r="RT48" s="29"/>
      <c r="RU48" s="29"/>
      <c r="RV48" s="29"/>
      <c r="RW48" s="29"/>
      <c r="RX48" s="29"/>
      <c r="RY48" s="29"/>
      <c r="RZ48" s="29"/>
      <c r="SA48" s="29"/>
      <c r="SB48" s="29"/>
      <c r="SC48" s="29"/>
      <c r="SD48" s="29"/>
      <c r="SE48" s="29"/>
      <c r="SF48" s="29"/>
      <c r="SG48" s="29"/>
      <c r="SH48" s="29"/>
      <c r="SI48" s="29"/>
      <c r="SJ48" s="29"/>
      <c r="SK48" s="29"/>
      <c r="SL48" s="29"/>
      <c r="SM48" s="29"/>
      <c r="SN48" s="29"/>
      <c r="SO48" s="29"/>
      <c r="SP48" s="29"/>
      <c r="SQ48" s="29"/>
      <c r="SR48" s="29"/>
      <c r="SS48" s="29"/>
      <c r="ST48" s="29"/>
      <c r="SU48" s="29"/>
      <c r="SV48" s="29"/>
      <c r="SW48" s="29"/>
      <c r="SX48" s="29"/>
      <c r="SY48" s="29"/>
      <c r="SZ48" s="29"/>
      <c r="TA48" s="29"/>
      <c r="TB48" s="29"/>
      <c r="TC48" s="29"/>
      <c r="TD48" s="29"/>
      <c r="TE48" s="29"/>
      <c r="TF48" s="29"/>
      <c r="TG48" s="29"/>
      <c r="TH48" s="29"/>
      <c r="TI48" s="29"/>
      <c r="TJ48" s="29"/>
      <c r="TK48" s="29"/>
      <c r="TL48" s="29"/>
      <c r="TM48" s="29"/>
      <c r="TN48" s="29"/>
      <c r="TO48" s="29"/>
      <c r="TP48" s="29"/>
      <c r="TQ48" s="29"/>
      <c r="TR48" s="29"/>
      <c r="TS48" s="29"/>
      <c r="TT48" s="29"/>
      <c r="TU48" s="29"/>
      <c r="TV48" s="29"/>
      <c r="TW48" s="29"/>
      <c r="TX48" s="29"/>
      <c r="TY48" s="29"/>
      <c r="TZ48" s="29"/>
      <c r="UA48" s="29"/>
      <c r="UB48" s="29"/>
      <c r="UC48" s="29"/>
      <c r="UD48" s="29"/>
      <c r="UE48" s="29"/>
      <c r="UF48" s="29"/>
      <c r="UG48" s="29"/>
      <c r="UH48" s="29"/>
      <c r="UI48" s="29"/>
      <c r="UJ48" s="29"/>
      <c r="UK48" s="29"/>
      <c r="UL48" s="29"/>
      <c r="UM48" s="29"/>
      <c r="UN48" s="29"/>
      <c r="UO48" s="29"/>
      <c r="UP48" s="29"/>
      <c r="UQ48" s="29"/>
      <c r="UR48" s="29"/>
      <c r="US48" s="29"/>
      <c r="UT48" s="29"/>
      <c r="UU48" s="29"/>
      <c r="UV48" s="29"/>
      <c r="UW48" s="29"/>
      <c r="UX48" s="29"/>
      <c r="UY48" s="29"/>
      <c r="UZ48" s="29"/>
      <c r="VA48" s="29"/>
      <c r="VB48" s="29"/>
      <c r="VC48" s="29"/>
      <c r="VD48" s="29"/>
      <c r="VE48" s="29"/>
      <c r="VF48" s="29"/>
      <c r="VG48" s="29"/>
      <c r="VH48" s="29"/>
      <c r="VI48" s="29"/>
      <c r="VJ48" s="29"/>
      <c r="VK48" s="29"/>
      <c r="VL48" s="29"/>
      <c r="VM48" s="29"/>
      <c r="VN48" s="29"/>
      <c r="VO48" s="29"/>
      <c r="VP48" s="29"/>
      <c r="VQ48" s="29"/>
      <c r="VR48" s="29"/>
      <c r="VS48" s="29"/>
      <c r="VT48" s="29"/>
      <c r="VU48" s="29"/>
      <c r="VV48" s="29"/>
      <c r="VW48" s="29"/>
      <c r="VX48" s="29"/>
      <c r="VY48" s="29"/>
      <c r="VZ48" s="29"/>
      <c r="WA48" s="29"/>
      <c r="WB48" s="29"/>
      <c r="WC48" s="29"/>
      <c r="WD48" s="29"/>
      <c r="WE48" s="29"/>
      <c r="WF48" s="29"/>
      <c r="WG48" s="29"/>
      <c r="WH48" s="29"/>
      <c r="WI48" s="29"/>
      <c r="WJ48" s="29"/>
      <c r="WK48" s="29"/>
      <c r="WL48" s="29"/>
      <c r="WM48" s="29"/>
      <c r="WN48" s="29"/>
      <c r="WO48" s="29"/>
      <c r="WP48" s="29"/>
      <c r="WQ48" s="29"/>
      <c r="WR48" s="29"/>
      <c r="WS48" s="29"/>
      <c r="WT48" s="29"/>
      <c r="WU48" s="29"/>
      <c r="WV48" s="29"/>
      <c r="WW48" s="29"/>
      <c r="WX48" s="29"/>
      <c r="WY48" s="29"/>
      <c r="WZ48" s="29"/>
      <c r="XA48" s="29"/>
      <c r="XB48" s="29"/>
      <c r="XC48" s="29"/>
      <c r="XD48" s="29"/>
      <c r="XE48" s="29"/>
      <c r="XF48" s="29"/>
      <c r="XG48" s="29"/>
      <c r="XH48" s="29"/>
      <c r="XI48" s="29"/>
      <c r="XJ48" s="29"/>
      <c r="XK48" s="29"/>
      <c r="XL48" s="29"/>
      <c r="XM48" s="29"/>
      <c r="XN48" s="29"/>
      <c r="XO48" s="29"/>
      <c r="XP48" s="29"/>
      <c r="XQ48" s="29"/>
      <c r="XR48" s="29"/>
      <c r="XS48" s="29"/>
      <c r="XT48" s="29"/>
      <c r="XU48" s="29"/>
      <c r="XV48" s="29"/>
      <c r="XW48" s="29"/>
      <c r="XX48" s="29"/>
      <c r="XY48" s="29"/>
      <c r="XZ48" s="29"/>
      <c r="YA48" s="29"/>
      <c r="YB48" s="29"/>
      <c r="YC48" s="29"/>
      <c r="YD48" s="29"/>
      <c r="YE48" s="29"/>
      <c r="YF48" s="29"/>
      <c r="YG48" s="29"/>
      <c r="YH48" s="29"/>
      <c r="YI48" s="29"/>
      <c r="YJ48" s="29"/>
      <c r="YK48" s="29"/>
      <c r="YL48" s="29"/>
      <c r="YM48" s="29"/>
      <c r="YN48" s="29"/>
      <c r="YO48" s="29"/>
      <c r="YP48" s="29"/>
      <c r="YQ48" s="29"/>
      <c r="YR48" s="29"/>
      <c r="YS48" s="29"/>
      <c r="YT48" s="29"/>
      <c r="YU48" s="29"/>
      <c r="YV48" s="29"/>
      <c r="YW48" s="29"/>
      <c r="YX48" s="29"/>
      <c r="YY48" s="29"/>
      <c r="YZ48" s="29"/>
      <c r="ZA48" s="29"/>
      <c r="ZB48" s="29"/>
      <c r="ZC48" s="29"/>
      <c r="ZD48" s="29"/>
      <c r="ZE48" s="29"/>
      <c r="ZF48" s="29"/>
      <c r="ZG48" s="29"/>
      <c r="ZH48" s="29"/>
      <c r="ZI48" s="29"/>
      <c r="ZJ48" s="29"/>
      <c r="ZK48" s="29"/>
      <c r="ZL48" s="29"/>
      <c r="ZM48" s="29"/>
      <c r="ZN48" s="29"/>
      <c r="ZO48" s="29"/>
      <c r="ZP48" s="29"/>
      <c r="ZQ48" s="29"/>
      <c r="ZR48" s="29"/>
      <c r="ZS48" s="29"/>
      <c r="ZT48" s="29"/>
      <c r="ZU48" s="29"/>
      <c r="ZV48" s="29"/>
      <c r="ZW48" s="29"/>
      <c r="ZX48" s="29"/>
      <c r="ZY48" s="29"/>
      <c r="ZZ48" s="29"/>
      <c r="AAA48" s="29"/>
      <c r="AAB48" s="29"/>
      <c r="AAC48" s="29"/>
      <c r="AAD48" s="29"/>
      <c r="AAE48" s="29"/>
      <c r="AAF48" s="29"/>
      <c r="AAG48" s="29"/>
      <c r="AAH48" s="29"/>
      <c r="AAI48" s="29"/>
      <c r="AAJ48" s="29"/>
      <c r="AAK48" s="29"/>
      <c r="AAL48" s="29"/>
      <c r="AAM48" s="29"/>
      <c r="AAN48" s="29"/>
      <c r="AAO48" s="29"/>
      <c r="AAP48" s="29"/>
      <c r="AAQ48" s="29"/>
      <c r="AAR48" s="29"/>
      <c r="AAS48" s="29"/>
      <c r="AAT48" s="29"/>
      <c r="AAU48" s="29"/>
      <c r="AAV48" s="29"/>
      <c r="AAW48" s="29"/>
      <c r="AAX48" s="29"/>
      <c r="AAY48" s="29"/>
      <c r="AAZ48" s="29"/>
      <c r="ABA48" s="29"/>
      <c r="ABB48" s="29"/>
      <c r="ABC48" s="29"/>
      <c r="ABD48" s="29"/>
      <c r="ABE48" s="29"/>
      <c r="ABF48" s="29"/>
      <c r="ABG48" s="29"/>
      <c r="ABH48" s="29"/>
      <c r="ABI48" s="29"/>
      <c r="ABJ48" s="29"/>
      <c r="ABK48" s="29"/>
      <c r="ABL48" s="29"/>
      <c r="ABM48" s="29"/>
      <c r="ABN48" s="29"/>
      <c r="ABO48" s="29"/>
      <c r="ABP48" s="29"/>
      <c r="ABQ48" s="29"/>
      <c r="ABR48" s="29"/>
      <c r="ABS48" s="29"/>
      <c r="ABT48" s="29"/>
      <c r="ABU48" s="29"/>
      <c r="ABV48" s="29"/>
      <c r="ABW48" s="29"/>
      <c r="ABX48" s="29"/>
      <c r="ABY48" s="29"/>
      <c r="ABZ48" s="29"/>
      <c r="ACA48" s="29"/>
      <c r="ACB48" s="29"/>
      <c r="ACC48" s="29"/>
      <c r="ACD48" s="29"/>
      <c r="ACE48" s="29"/>
      <c r="ACF48" s="29"/>
      <c r="ACG48" s="29"/>
      <c r="ACH48" s="29"/>
      <c r="ACI48" s="29"/>
      <c r="ACJ48" s="29"/>
      <c r="ACK48" s="29"/>
      <c r="ACL48" s="29"/>
      <c r="ACM48" s="29"/>
      <c r="ACN48" s="29"/>
      <c r="ACO48" s="29"/>
      <c r="ACP48" s="29"/>
      <c r="ACQ48" s="29"/>
      <c r="ACR48" s="29"/>
      <c r="ACS48" s="29"/>
      <c r="ACT48" s="29"/>
      <c r="ACU48" s="29"/>
      <c r="ACV48" s="29"/>
    </row>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8.75" customHeight="1" x14ac:dyDescent="0.25"/>
  </sheetData>
  <mergeCells count="165">
    <mergeCell ref="P39:R39"/>
    <mergeCell ref="P40:R40"/>
    <mergeCell ref="P41:R41"/>
    <mergeCell ref="P42:R42"/>
    <mergeCell ref="P43:R43"/>
    <mergeCell ref="V37:X37"/>
    <mergeCell ref="P37:S37"/>
    <mergeCell ref="V38:X38"/>
    <mergeCell ref="V39:X39"/>
    <mergeCell ref="V40:X40"/>
    <mergeCell ref="V41:X41"/>
    <mergeCell ref="V42:X42"/>
    <mergeCell ref="V43:X43"/>
    <mergeCell ref="P38:R38"/>
    <mergeCell ref="S8:U8"/>
    <mergeCell ref="V8:X8"/>
    <mergeCell ref="A7:F7"/>
    <mergeCell ref="P7:R7"/>
    <mergeCell ref="S7:U7"/>
    <mergeCell ref="V7:X7"/>
    <mergeCell ref="P9:R9"/>
    <mergeCell ref="S9:U9"/>
    <mergeCell ref="V9:X9"/>
    <mergeCell ref="A10:F10"/>
    <mergeCell ref="H10:J10"/>
    <mergeCell ref="K10:M10"/>
    <mergeCell ref="P10:R10"/>
    <mergeCell ref="S10:U10"/>
    <mergeCell ref="W1:X1"/>
    <mergeCell ref="A1:N1"/>
    <mergeCell ref="O1:P1"/>
    <mergeCell ref="Q1:R1"/>
    <mergeCell ref="S1:T1"/>
    <mergeCell ref="U1:V1"/>
    <mergeCell ref="A5:F5"/>
    <mergeCell ref="L5:N5"/>
    <mergeCell ref="U5:W5"/>
    <mergeCell ref="H6:J6"/>
    <mergeCell ref="K6:N6"/>
    <mergeCell ref="P6:R6"/>
    <mergeCell ref="S6:U6"/>
    <mergeCell ref="A2:X2"/>
    <mergeCell ref="A3:G3"/>
    <mergeCell ref="H3:P3"/>
    <mergeCell ref="H9:J9"/>
    <mergeCell ref="A8:F8"/>
    <mergeCell ref="P8:R8"/>
    <mergeCell ref="A24:F24"/>
    <mergeCell ref="H24:J24"/>
    <mergeCell ref="K24:L24"/>
    <mergeCell ref="A19:F19"/>
    <mergeCell ref="H19:J19"/>
    <mergeCell ref="K19:L19"/>
    <mergeCell ref="M19:N19"/>
    <mergeCell ref="P19:R19"/>
    <mergeCell ref="S19:U19"/>
    <mergeCell ref="A23:F23"/>
    <mergeCell ref="H23:J23"/>
    <mergeCell ref="K23:L23"/>
    <mergeCell ref="M23:N23"/>
    <mergeCell ref="P23:R23"/>
    <mergeCell ref="S23:U23"/>
    <mergeCell ref="P28:R28"/>
    <mergeCell ref="S28:U28"/>
    <mergeCell ref="V28:X28"/>
    <mergeCell ref="V25:X25"/>
    <mergeCell ref="A26:F26"/>
    <mergeCell ref="H26:J26"/>
    <mergeCell ref="K26:L26"/>
    <mergeCell ref="M26:N26"/>
    <mergeCell ref="P26:R26"/>
    <mergeCell ref="S26:U26"/>
    <mergeCell ref="V26:X26"/>
    <mergeCell ref="A25:F25"/>
    <mergeCell ref="H25:J25"/>
    <mergeCell ref="K25:L25"/>
    <mergeCell ref="M25:N25"/>
    <mergeCell ref="P25:R25"/>
    <mergeCell ref="S25:U25"/>
    <mergeCell ref="V24:X24"/>
    <mergeCell ref="V23:X23"/>
    <mergeCell ref="A22:F22"/>
    <mergeCell ref="H22:J22"/>
    <mergeCell ref="K22:L22"/>
    <mergeCell ref="M22:N22"/>
    <mergeCell ref="CO31:CQ31"/>
    <mergeCell ref="A34:X34"/>
    <mergeCell ref="V29:X29"/>
    <mergeCell ref="AC27:AE27"/>
    <mergeCell ref="H31:N31"/>
    <mergeCell ref="P31:R31"/>
    <mergeCell ref="S31:U31"/>
    <mergeCell ref="V31:X31"/>
    <mergeCell ref="A29:F29"/>
    <mergeCell ref="I29:J29"/>
    <mergeCell ref="L29:M29"/>
    <mergeCell ref="P29:R29"/>
    <mergeCell ref="S29:U29"/>
    <mergeCell ref="A27:F27"/>
    <mergeCell ref="AF23:AH23"/>
    <mergeCell ref="S27:U27"/>
    <mergeCell ref="H28:J28"/>
    <mergeCell ref="K28:M28"/>
    <mergeCell ref="V22:X22"/>
    <mergeCell ref="V19:X19"/>
    <mergeCell ref="H18:J18"/>
    <mergeCell ref="K18:L18"/>
    <mergeCell ref="M18:N18"/>
    <mergeCell ref="P18:R18"/>
    <mergeCell ref="A15:F15"/>
    <mergeCell ref="P15:R15"/>
    <mergeCell ref="S15:U15"/>
    <mergeCell ref="V15:X15"/>
    <mergeCell ref="H16:N16"/>
    <mergeCell ref="P16:R16"/>
    <mergeCell ref="S16:U16"/>
    <mergeCell ref="V16:X16"/>
    <mergeCell ref="A14:F14"/>
    <mergeCell ref="S13:U13"/>
    <mergeCell ref="V13:X13"/>
    <mergeCell ref="A6:F6"/>
    <mergeCell ref="A12:F12"/>
    <mergeCell ref="P20:R20"/>
    <mergeCell ref="A13:F13"/>
    <mergeCell ref="H13:J13"/>
    <mergeCell ref="P13:R13"/>
    <mergeCell ref="A18:F18"/>
    <mergeCell ref="S18:U18"/>
    <mergeCell ref="V18:X18"/>
    <mergeCell ref="P14:R14"/>
    <mergeCell ref="S14:U14"/>
    <mergeCell ref="V14:X14"/>
    <mergeCell ref="V6:X6"/>
    <mergeCell ref="V10:X10"/>
    <mergeCell ref="A11:F11"/>
    <mergeCell ref="H11:J11"/>
    <mergeCell ref="K11:M11"/>
    <mergeCell ref="P11:R11"/>
    <mergeCell ref="S11:U11"/>
    <mergeCell ref="V11:X11"/>
    <mergeCell ref="A9:F9"/>
    <mergeCell ref="A37:I37"/>
    <mergeCell ref="P44:R44"/>
    <mergeCell ref="V44:X44"/>
    <mergeCell ref="T17:U17"/>
    <mergeCell ref="P22:R22"/>
    <mergeCell ref="S22:U22"/>
    <mergeCell ref="A20:F20"/>
    <mergeCell ref="S20:U20"/>
    <mergeCell ref="V20:X20"/>
    <mergeCell ref="A21:F21"/>
    <mergeCell ref="H21:J21"/>
    <mergeCell ref="K21:L21"/>
    <mergeCell ref="M21:N21"/>
    <mergeCell ref="P21:R21"/>
    <mergeCell ref="S21:U21"/>
    <mergeCell ref="V21:X21"/>
    <mergeCell ref="A35:X35"/>
    <mergeCell ref="A33:G33"/>
    <mergeCell ref="H33:N33"/>
    <mergeCell ref="P33:S33"/>
    <mergeCell ref="V33:X33"/>
    <mergeCell ref="M24:N24"/>
    <mergeCell ref="P24:R24"/>
    <mergeCell ref="S24:U24"/>
  </mergeCells>
  <conditionalFormatting sqref="P16:X16">
    <cfRule type="expression" dxfId="124" priority="4">
      <formula>$P$15=0</formula>
    </cfRule>
  </conditionalFormatting>
  <conditionalFormatting sqref="P31:X31">
    <cfRule type="expression" dxfId="123" priority="3">
      <formula>$P$15=0</formula>
    </cfRule>
  </conditionalFormatting>
  <conditionalFormatting sqref="V33:X33">
    <cfRule type="expression" dxfId="122" priority="2">
      <formula>$P$15=0</formula>
    </cfRule>
  </conditionalFormatting>
  <conditionalFormatting sqref="A33:N33">
    <cfRule type="expression" dxfId="121" priority="672">
      <formula>$V$32&lt;0</formula>
    </cfRule>
  </conditionalFormatting>
  <printOptions horizontalCentered="1"/>
  <pageMargins left="0.70866141732283472" right="0.70866141732283472" top="0.74803149606299213" bottom="0.74803149606299213" header="0.31496062992125984" footer="0.31496062992125984"/>
  <pageSetup paperSize="9" orientation="portrait" r:id="rId1"/>
  <headerFooter>
    <oddHeader>&amp;C&amp;G</oddHeader>
    <oddFooter>&amp;R&amp;G</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Settings!$Z$29:$Z$36</xm:f>
          </x14:formula1>
          <xm:sqref>K28 K10:K12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32"/>
  <sheetViews>
    <sheetView showGridLines="0" showRuler="0" topLeftCell="A13" zoomScaleNormal="100" workbookViewId="0">
      <selection activeCell="F23" sqref="F23:I23"/>
    </sheetView>
  </sheetViews>
  <sheetFormatPr defaultColWidth="3.5703125" defaultRowHeight="18.75" customHeight="1" x14ac:dyDescent="0.25"/>
  <cols>
    <col min="1" max="8" width="3.5703125" style="21"/>
    <col min="9" max="9" width="3.5703125" style="21" customWidth="1"/>
    <col min="10" max="13" width="3.5703125" style="21"/>
    <col min="14" max="14" width="3.5703125" style="23"/>
    <col min="15" max="24" width="3.5703125" style="21"/>
    <col min="25" max="25" width="4.5703125" style="21" customWidth="1"/>
    <col min="26" max="26" width="2" style="123" customWidth="1"/>
    <col min="27" max="35" width="3.5703125" style="94" customWidth="1"/>
    <col min="36" max="36" width="40.28515625" style="94" bestFit="1" customWidth="1"/>
    <col min="37" max="71" width="3.5703125" style="94" customWidth="1"/>
    <col min="72" max="72" width="30.85546875" style="94" customWidth="1"/>
    <col min="73" max="75" width="6.140625" style="94" customWidth="1"/>
    <col min="76" max="76" width="5.28515625" style="94" customWidth="1"/>
    <col min="77" max="77" width="8.5703125" style="94" customWidth="1"/>
    <col min="78" max="78" width="13.28515625" style="94" customWidth="1"/>
    <col min="79" max="79" width="3.5703125" style="94"/>
    <col min="80" max="80" width="6.140625" style="94" customWidth="1"/>
    <col min="81" max="81" width="12.28515625" style="94" customWidth="1"/>
    <col min="82" max="85" width="3.5703125" style="94"/>
    <col min="86" max="92" width="3.5703125" style="129"/>
    <col min="93" max="93" width="8.5703125" style="129" customWidth="1"/>
    <col min="94" max="94" width="13.5703125" style="129" customWidth="1"/>
    <col min="95" max="104" width="3.5703125" style="129"/>
    <col min="105" max="16384" width="3.5703125" style="21"/>
  </cols>
  <sheetData>
    <row r="1" spans="1:108" ht="48" customHeight="1" x14ac:dyDescent="0.25">
      <c r="A1" s="1534" t="s">
        <v>1391</v>
      </c>
      <c r="B1" s="1534"/>
      <c r="C1" s="1534"/>
      <c r="D1" s="1534"/>
      <c r="E1" s="1534"/>
      <c r="F1" s="1534"/>
      <c r="G1" s="1534"/>
      <c r="H1" s="1534"/>
      <c r="I1" s="1534"/>
      <c r="J1" s="1534"/>
      <c r="K1" s="1534"/>
      <c r="L1" s="1534"/>
      <c r="M1" s="1534"/>
      <c r="N1" s="1534"/>
      <c r="O1" s="1534"/>
      <c r="P1" s="1534"/>
      <c r="Q1" s="1534"/>
      <c r="R1" s="1534"/>
      <c r="S1" s="1534"/>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c r="CF1" s="1991"/>
      <c r="CG1" s="1991"/>
      <c r="CH1" s="1991"/>
      <c r="CI1" s="1991"/>
      <c r="CJ1" s="1991"/>
      <c r="CK1" s="1991"/>
      <c r="CL1" s="1991"/>
      <c r="CM1" s="1991"/>
      <c r="CN1" s="1991"/>
      <c r="CO1" s="1991"/>
      <c r="CP1" s="1991"/>
      <c r="CQ1" s="1991"/>
    </row>
    <row r="2" spans="1:108" s="27" customFormat="1" ht="11.25"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365"/>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5"/>
      <c r="AY2" s="1365"/>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53"/>
      <c r="CI2" s="153"/>
      <c r="CJ2" s="153"/>
      <c r="CK2" s="153"/>
      <c r="CL2" s="153"/>
      <c r="CM2" s="153"/>
      <c r="CN2" s="153"/>
      <c r="CO2" s="153"/>
      <c r="CP2" s="153"/>
      <c r="CQ2" s="153"/>
      <c r="CR2" s="153"/>
      <c r="CS2" s="153"/>
      <c r="CT2" s="153"/>
      <c r="CU2" s="153"/>
      <c r="CV2" s="153"/>
      <c r="CW2" s="153"/>
      <c r="CX2" s="153"/>
      <c r="CY2" s="153"/>
      <c r="CZ2" s="153"/>
    </row>
    <row r="3" spans="1:108" s="192" customFormat="1" ht="12.75" x14ac:dyDescent="0.25">
      <c r="A3" s="1366"/>
      <c r="B3" s="1724" t="s">
        <v>669</v>
      </c>
      <c r="C3" s="1724"/>
      <c r="D3" s="1724"/>
      <c r="E3" s="1724"/>
      <c r="F3" s="687"/>
      <c r="G3" s="1726" t="str">
        <f>+Profile!BE8</f>
        <v xml:space="preserve"> </v>
      </c>
      <c r="H3" s="1726"/>
      <c r="I3" s="1726"/>
      <c r="J3" s="1726"/>
      <c r="K3" s="1726"/>
      <c r="L3" s="1726"/>
      <c r="M3" s="1726"/>
      <c r="N3" s="1726"/>
      <c r="O3" s="1726"/>
      <c r="P3" s="1726"/>
      <c r="Q3" s="1726"/>
      <c r="R3" s="1724"/>
      <c r="S3" s="1724"/>
      <c r="T3" s="1724"/>
      <c r="U3" s="1727"/>
      <c r="V3" s="1727"/>
      <c r="W3" s="1727"/>
      <c r="X3" s="1727"/>
      <c r="Y3" s="1727"/>
      <c r="Z3" s="1727"/>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90"/>
      <c r="BV3" s="190"/>
      <c r="BW3" s="190"/>
      <c r="BX3" s="190"/>
      <c r="BY3" s="190"/>
      <c r="BZ3" s="190"/>
      <c r="CA3" s="190"/>
      <c r="CB3" s="190"/>
      <c r="CC3" s="190"/>
      <c r="CD3" s="190"/>
      <c r="CE3" s="190"/>
      <c r="CF3" s="190"/>
      <c r="CG3" s="190"/>
      <c r="CH3" s="191"/>
      <c r="CI3" s="191"/>
      <c r="CJ3" s="191"/>
      <c r="CK3" s="191"/>
      <c r="CL3" s="191"/>
      <c r="CM3" s="191"/>
      <c r="CN3" s="191"/>
      <c r="CO3" s="191"/>
      <c r="CP3" s="191"/>
      <c r="CQ3" s="191"/>
      <c r="CR3" s="191"/>
      <c r="CS3" s="191"/>
      <c r="CT3" s="191"/>
      <c r="CU3" s="191"/>
      <c r="CV3" s="191"/>
      <c r="CW3" s="191"/>
      <c r="CX3" s="191"/>
      <c r="CY3" s="191"/>
      <c r="CZ3" s="191"/>
    </row>
    <row r="4" spans="1:108" ht="18.75" customHeight="1" x14ac:dyDescent="0.25">
      <c r="A4" s="689"/>
      <c r="B4" s="1722" t="s">
        <v>1409</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689"/>
      <c r="BT4" s="229"/>
      <c r="BU4" s="229"/>
      <c r="BV4" s="229"/>
      <c r="BW4" s="229"/>
      <c r="BX4" s="229"/>
      <c r="BY4" s="229"/>
      <c r="BZ4" s="229"/>
      <c r="CA4" s="229"/>
      <c r="CB4" s="229"/>
      <c r="CC4" s="229"/>
      <c r="CD4" s="229"/>
      <c r="CE4" s="229"/>
      <c r="CF4" s="229"/>
    </row>
    <row r="5" spans="1:108" ht="26.25" x14ac:dyDescent="0.25">
      <c r="A5" s="1718" t="s">
        <v>1392</v>
      </c>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367"/>
      <c r="BT5" s="229"/>
      <c r="BU5" s="229"/>
      <c r="BV5" s="229"/>
      <c r="BW5" s="229"/>
      <c r="BX5" s="229"/>
      <c r="BY5" s="229"/>
      <c r="BZ5" s="229"/>
      <c r="CA5" s="229"/>
      <c r="CB5" s="229"/>
      <c r="CC5" s="229"/>
      <c r="CD5" s="229"/>
      <c r="CE5" s="229"/>
      <c r="CF5" s="229"/>
    </row>
    <row r="6" spans="1:108" ht="18.75" customHeight="1" x14ac:dyDescent="0.25">
      <c r="A6" s="68"/>
      <c r="B6" s="1974"/>
      <c r="C6" s="1974"/>
      <c r="D6" s="1974"/>
      <c r="E6" s="1668"/>
      <c r="F6" s="1975"/>
      <c r="G6" s="1976"/>
      <c r="H6" s="1976"/>
      <c r="I6" s="1976"/>
      <c r="J6" s="1976"/>
      <c r="K6" s="1976"/>
      <c r="L6" s="1976"/>
      <c r="M6" s="1976"/>
      <c r="N6" s="1976"/>
      <c r="O6" s="1976"/>
      <c r="P6" s="1976"/>
      <c r="Q6" s="1976"/>
      <c r="R6" s="1976"/>
      <c r="S6" s="1976"/>
      <c r="T6" s="1976"/>
      <c r="U6" s="1976"/>
      <c r="V6" s="1976"/>
      <c r="W6" s="1976"/>
      <c r="X6" s="1976"/>
      <c r="Y6" s="1977"/>
      <c r="BT6" s="229"/>
      <c r="BU6" s="229"/>
      <c r="BV6" s="229"/>
      <c r="BW6" s="229"/>
      <c r="BX6" s="229"/>
      <c r="BY6" s="229"/>
      <c r="BZ6" s="229"/>
      <c r="CA6" s="229"/>
      <c r="CB6" s="229"/>
      <c r="CC6" s="229"/>
      <c r="CD6" s="229"/>
      <c r="CE6" s="229"/>
      <c r="CF6" s="229"/>
    </row>
    <row r="7" spans="1:108" ht="18.75" customHeight="1" x14ac:dyDescent="0.25">
      <c r="A7" s="68"/>
      <c r="B7" s="1974"/>
      <c r="C7" s="1974"/>
      <c r="D7" s="1974"/>
      <c r="E7" s="1668"/>
      <c r="F7" s="1978"/>
      <c r="G7" s="1979"/>
      <c r="H7" s="1979"/>
      <c r="I7" s="1979"/>
      <c r="J7" s="1979"/>
      <c r="K7" s="1979"/>
      <c r="L7" s="1979"/>
      <c r="M7" s="1979"/>
      <c r="N7" s="1979"/>
      <c r="O7" s="1979"/>
      <c r="P7" s="1979"/>
      <c r="Q7" s="1979"/>
      <c r="R7" s="1979"/>
      <c r="S7" s="1979"/>
      <c r="T7" s="1979"/>
      <c r="U7" s="1979"/>
      <c r="V7" s="1979"/>
      <c r="W7" s="1979"/>
      <c r="X7" s="1979"/>
      <c r="Y7" s="1980"/>
      <c r="BT7" s="229"/>
      <c r="BU7" s="229"/>
      <c r="BV7" s="229"/>
      <c r="BW7" s="229"/>
      <c r="BX7" s="229"/>
      <c r="BY7" s="229"/>
      <c r="BZ7" s="229"/>
      <c r="CA7" s="229"/>
      <c r="CB7" s="229"/>
      <c r="CC7" s="229"/>
      <c r="CD7" s="229"/>
      <c r="CE7" s="229"/>
      <c r="CF7" s="229"/>
    </row>
    <row r="8" spans="1:108" ht="18.75" customHeight="1" x14ac:dyDescent="0.25">
      <c r="A8" s="68"/>
      <c r="B8" s="1974"/>
      <c r="C8" s="1974"/>
      <c r="D8" s="1974"/>
      <c r="E8" s="1668"/>
      <c r="F8" s="1981"/>
      <c r="G8" s="1982"/>
      <c r="H8" s="1982"/>
      <c r="I8" s="1982"/>
      <c r="J8" s="1982"/>
      <c r="K8" s="1982"/>
      <c r="L8" s="1982"/>
      <c r="M8" s="1982"/>
      <c r="N8" s="1982"/>
      <c r="O8" s="1982"/>
      <c r="P8" s="1982"/>
      <c r="Q8" s="1982"/>
      <c r="R8" s="1982"/>
      <c r="S8" s="1982"/>
      <c r="T8" s="1982"/>
      <c r="U8" s="1982"/>
      <c r="V8" s="1982"/>
      <c r="W8" s="1982"/>
      <c r="X8" s="1982"/>
      <c r="Y8" s="1983"/>
      <c r="BT8" s="229"/>
      <c r="BU8" s="229"/>
      <c r="BV8" s="229"/>
      <c r="BW8" s="229"/>
      <c r="BX8" s="229"/>
      <c r="BY8" s="229"/>
      <c r="BZ8" s="229"/>
      <c r="CA8" s="229"/>
      <c r="CB8" s="229"/>
      <c r="CC8" s="229"/>
      <c r="CD8" s="229"/>
      <c r="CE8" s="229"/>
      <c r="CF8" s="229"/>
    </row>
    <row r="9" spans="1:108" ht="26.25" x14ac:dyDescent="0.25">
      <c r="A9" s="1718" t="s">
        <v>1394</v>
      </c>
      <c r="B9" s="1718"/>
      <c r="C9" s="1718"/>
      <c r="D9" s="1718"/>
      <c r="E9" s="1718"/>
      <c r="F9" s="1718"/>
      <c r="G9" s="1718"/>
      <c r="H9" s="1718"/>
      <c r="I9" s="1718"/>
      <c r="J9" s="1718"/>
      <c r="K9" s="1718"/>
      <c r="L9" s="1718"/>
      <c r="M9" s="1718"/>
      <c r="N9" s="1718"/>
      <c r="O9" s="1718"/>
      <c r="P9" s="1718"/>
      <c r="Q9" s="1718"/>
      <c r="R9" s="1718"/>
      <c r="S9" s="1718"/>
      <c r="T9" s="1718"/>
      <c r="U9" s="1718"/>
      <c r="V9" s="1718"/>
      <c r="W9" s="1718"/>
      <c r="X9" s="1718"/>
      <c r="Y9" s="1718"/>
      <c r="BT9" s="229"/>
      <c r="BU9" s="229"/>
      <c r="BV9" s="229"/>
      <c r="BW9" s="229"/>
      <c r="BX9" s="229"/>
      <c r="BY9" s="229">
        <f>+F12</f>
        <v>0</v>
      </c>
      <c r="BZ9" s="229">
        <f>+G12</f>
        <v>0</v>
      </c>
      <c r="CA9" s="229"/>
      <c r="CB9" s="229"/>
      <c r="CC9" s="229"/>
      <c r="CD9" s="229"/>
      <c r="CE9" s="229"/>
      <c r="CF9" s="229"/>
    </row>
    <row r="10" spans="1:108" ht="18.75" customHeight="1" x14ac:dyDescent="0.25">
      <c r="A10" s="68"/>
      <c r="B10" s="1974"/>
      <c r="C10" s="1974"/>
      <c r="D10" s="1974"/>
      <c r="E10" s="1668"/>
      <c r="F10" s="1975"/>
      <c r="G10" s="1976"/>
      <c r="H10" s="1976"/>
      <c r="I10" s="1976"/>
      <c r="J10" s="1976"/>
      <c r="K10" s="1976"/>
      <c r="L10" s="1976"/>
      <c r="M10" s="1976"/>
      <c r="N10" s="1976"/>
      <c r="O10" s="1976"/>
      <c r="P10" s="1976"/>
      <c r="Q10" s="1976"/>
      <c r="R10" s="1976"/>
      <c r="S10" s="1976"/>
      <c r="T10" s="1976"/>
      <c r="U10" s="1976"/>
      <c r="V10" s="1976"/>
      <c r="W10" s="1976"/>
      <c r="X10" s="1976"/>
      <c r="Y10" s="1977"/>
      <c r="BT10" s="229"/>
      <c r="BU10" s="229"/>
      <c r="BV10" s="229"/>
      <c r="BW10" s="229"/>
      <c r="BX10" s="229"/>
      <c r="BY10" s="229"/>
      <c r="BZ10" s="229"/>
      <c r="CA10" s="229"/>
      <c r="CB10" s="229"/>
      <c r="CC10" s="229"/>
      <c r="CD10" s="229"/>
      <c r="CE10" s="229"/>
      <c r="CF10" s="229"/>
    </row>
    <row r="11" spans="1:108" ht="18.75" customHeight="1" x14ac:dyDescent="0.25">
      <c r="A11" s="68"/>
      <c r="B11" s="1974"/>
      <c r="C11" s="1974"/>
      <c r="D11" s="1974"/>
      <c r="E11" s="1668"/>
      <c r="F11" s="1978"/>
      <c r="G11" s="1979"/>
      <c r="H11" s="1979"/>
      <c r="I11" s="1979"/>
      <c r="J11" s="1979"/>
      <c r="K11" s="1979"/>
      <c r="L11" s="1979"/>
      <c r="M11" s="1979"/>
      <c r="N11" s="1979"/>
      <c r="O11" s="1979"/>
      <c r="P11" s="1979"/>
      <c r="Q11" s="1979"/>
      <c r="R11" s="1979"/>
      <c r="S11" s="1979"/>
      <c r="T11" s="1979"/>
      <c r="U11" s="1979"/>
      <c r="V11" s="1979"/>
      <c r="W11" s="1979"/>
      <c r="X11" s="1979"/>
      <c r="Y11" s="1980"/>
      <c r="BT11" s="229"/>
      <c r="BU11" s="229"/>
      <c r="BV11" s="229"/>
      <c r="BW11" s="229"/>
      <c r="BX11" s="229"/>
      <c r="BY11" s="229"/>
      <c r="BZ11" s="229"/>
      <c r="CA11" s="229"/>
      <c r="CB11" s="229" t="b">
        <v>1</v>
      </c>
      <c r="CC11" s="229" t="e">
        <f>+#REF!</f>
        <v>#REF!</v>
      </c>
      <c r="CD11" s="229"/>
      <c r="CE11" s="229"/>
      <c r="CF11" s="229"/>
    </row>
    <row r="12" spans="1:108" ht="18.75" customHeight="1" x14ac:dyDescent="0.25">
      <c r="A12" s="68"/>
      <c r="B12" s="1974"/>
      <c r="C12" s="1974"/>
      <c r="D12" s="1974"/>
      <c r="E12" s="1668"/>
      <c r="F12" s="1981"/>
      <c r="G12" s="1982"/>
      <c r="H12" s="1982"/>
      <c r="I12" s="1982"/>
      <c r="J12" s="1982"/>
      <c r="K12" s="1982"/>
      <c r="L12" s="1982"/>
      <c r="M12" s="1982"/>
      <c r="N12" s="1982"/>
      <c r="O12" s="1982"/>
      <c r="P12" s="1982"/>
      <c r="Q12" s="1982"/>
      <c r="R12" s="1982"/>
      <c r="S12" s="1982"/>
      <c r="T12" s="1982"/>
      <c r="U12" s="1982"/>
      <c r="V12" s="1982"/>
      <c r="W12" s="1982"/>
      <c r="X12" s="1982"/>
      <c r="Y12" s="1983"/>
      <c r="BT12" s="229"/>
      <c r="BU12" s="229"/>
      <c r="BV12" s="229"/>
      <c r="BW12" s="229"/>
      <c r="BX12" s="229"/>
      <c r="BY12" s="229"/>
      <c r="BZ12" s="229"/>
      <c r="CA12" s="229"/>
      <c r="CB12" s="229" t="b">
        <v>0</v>
      </c>
      <c r="CC12" s="229">
        <f>+M10</f>
        <v>0</v>
      </c>
      <c r="CD12" s="229"/>
      <c r="CE12" s="229"/>
      <c r="CF12" s="229"/>
    </row>
    <row r="13" spans="1:108" ht="26.25" x14ac:dyDescent="0.25">
      <c r="A13" s="1718" t="s">
        <v>1393</v>
      </c>
      <c r="B13" s="1718"/>
      <c r="C13" s="1718"/>
      <c r="D13" s="1718"/>
      <c r="E13" s="1718"/>
      <c r="F13" s="1718"/>
      <c r="G13" s="1718"/>
      <c r="H13" s="1718"/>
      <c r="I13" s="1718"/>
      <c r="J13" s="1718"/>
      <c r="K13" s="1718"/>
      <c r="L13" s="1718"/>
      <c r="M13" s="1718"/>
      <c r="N13" s="1718"/>
      <c r="O13" s="1718"/>
      <c r="P13" s="1718"/>
      <c r="Q13" s="1718"/>
      <c r="R13" s="1718"/>
      <c r="S13" s="1718"/>
      <c r="T13" s="1718"/>
      <c r="U13" s="1718"/>
      <c r="V13" s="1718"/>
      <c r="W13" s="1718"/>
      <c r="X13" s="1718"/>
      <c r="Y13" s="1718"/>
      <c r="BT13" s="229"/>
      <c r="BU13" s="229"/>
      <c r="BV13" s="229"/>
      <c r="BW13" s="229"/>
      <c r="BX13" s="229"/>
      <c r="BY13" s="229"/>
      <c r="BZ13" s="229"/>
      <c r="CA13" s="229"/>
      <c r="CB13" s="229"/>
      <c r="CC13" s="229"/>
      <c r="CD13" s="229"/>
      <c r="CE13" s="229"/>
      <c r="CF13" s="229"/>
    </row>
    <row r="14" spans="1:108" ht="18.75" customHeight="1" x14ac:dyDescent="0.25">
      <c r="A14" s="68"/>
      <c r="B14" s="1974"/>
      <c r="C14" s="1974"/>
      <c r="D14" s="1974"/>
      <c r="E14" s="1668"/>
      <c r="F14" s="1975"/>
      <c r="G14" s="1976"/>
      <c r="H14" s="1976"/>
      <c r="I14" s="1976"/>
      <c r="J14" s="1976"/>
      <c r="K14" s="1976"/>
      <c r="L14" s="1976"/>
      <c r="M14" s="1976"/>
      <c r="N14" s="1976"/>
      <c r="O14" s="1976"/>
      <c r="P14" s="1976"/>
      <c r="Q14" s="1976"/>
      <c r="R14" s="1976"/>
      <c r="S14" s="1976"/>
      <c r="T14" s="1976"/>
      <c r="U14" s="1976"/>
      <c r="V14" s="1976"/>
      <c r="W14" s="1976"/>
      <c r="X14" s="1976"/>
      <c r="Y14" s="1977"/>
      <c r="BT14" s="229"/>
      <c r="BU14" s="229"/>
      <c r="BV14" s="229"/>
      <c r="BW14" s="229"/>
      <c r="BX14" s="229"/>
      <c r="BY14" s="229"/>
      <c r="BZ14" s="229"/>
      <c r="CA14" s="229"/>
      <c r="CB14" s="229"/>
      <c r="CC14" s="229"/>
      <c r="CD14" s="229"/>
      <c r="CE14" s="229"/>
      <c r="CF14" s="229"/>
    </row>
    <row r="15" spans="1:108" s="94" customFormat="1" ht="18.75" customHeight="1" x14ac:dyDescent="0.25">
      <c r="A15" s="68"/>
      <c r="B15" s="1974"/>
      <c r="C15" s="1974"/>
      <c r="D15" s="1974"/>
      <c r="E15" s="1668"/>
      <c r="F15" s="1978"/>
      <c r="G15" s="1979"/>
      <c r="H15" s="1979"/>
      <c r="I15" s="1979"/>
      <c r="J15" s="1979"/>
      <c r="K15" s="1979"/>
      <c r="L15" s="1979"/>
      <c r="M15" s="1979"/>
      <c r="N15" s="1979"/>
      <c r="O15" s="1979"/>
      <c r="P15" s="1979"/>
      <c r="Q15" s="1979"/>
      <c r="R15" s="1979"/>
      <c r="S15" s="1979"/>
      <c r="T15" s="1979"/>
      <c r="U15" s="1979"/>
      <c r="V15" s="1979"/>
      <c r="W15" s="1979"/>
      <c r="X15" s="1979"/>
      <c r="Y15" s="1980"/>
      <c r="Z15" s="123"/>
      <c r="BT15" s="229"/>
      <c r="BU15" s="229"/>
      <c r="BV15" s="229"/>
      <c r="BW15" s="229"/>
      <c r="BX15" s="229"/>
      <c r="BY15" s="229"/>
      <c r="BZ15" s="229"/>
      <c r="CA15" s="229"/>
      <c r="CB15" s="229"/>
      <c r="CC15" s="229"/>
      <c r="CD15" s="229"/>
      <c r="CE15" s="229"/>
      <c r="CF15" s="229"/>
      <c r="CH15" s="129"/>
      <c r="CI15" s="129"/>
      <c r="CJ15" s="129"/>
      <c r="CK15" s="129"/>
      <c r="CL15" s="129"/>
      <c r="CM15" s="129"/>
      <c r="CN15" s="129"/>
      <c r="CO15" s="129"/>
      <c r="CP15" s="129"/>
      <c r="CQ15" s="129"/>
      <c r="CR15" s="129"/>
      <c r="CS15" s="129"/>
      <c r="CT15" s="129"/>
      <c r="CU15" s="129"/>
      <c r="CV15" s="129"/>
      <c r="CW15" s="129"/>
      <c r="CX15" s="129"/>
      <c r="CY15" s="129"/>
      <c r="CZ15" s="129"/>
      <c r="DA15" s="21"/>
      <c r="DB15" s="21"/>
      <c r="DC15" s="21"/>
      <c r="DD15" s="21"/>
    </row>
    <row r="16" spans="1:108" s="123" customFormat="1" ht="18.600000000000001" customHeight="1" x14ac:dyDescent="0.25">
      <c r="A16" s="68"/>
      <c r="B16" s="1974"/>
      <c r="C16" s="1974"/>
      <c r="D16" s="1974"/>
      <c r="E16" s="1668"/>
      <c r="F16" s="1981"/>
      <c r="G16" s="1982"/>
      <c r="H16" s="1982"/>
      <c r="I16" s="1982"/>
      <c r="J16" s="1982"/>
      <c r="K16" s="1982"/>
      <c r="L16" s="1982"/>
      <c r="M16" s="1982"/>
      <c r="N16" s="1982"/>
      <c r="O16" s="1982"/>
      <c r="P16" s="1982"/>
      <c r="Q16" s="1982"/>
      <c r="R16" s="1982"/>
      <c r="S16" s="1982"/>
      <c r="T16" s="1982"/>
      <c r="U16" s="1982"/>
      <c r="V16" s="1982"/>
      <c r="W16" s="1982"/>
      <c r="X16" s="1982"/>
      <c r="Y16" s="1983"/>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129"/>
      <c r="CI16" s="129"/>
      <c r="CJ16" s="129"/>
      <c r="CK16" s="129"/>
      <c r="CL16" s="129"/>
      <c r="CM16" s="129"/>
      <c r="CN16" s="129"/>
      <c r="CO16" s="129"/>
      <c r="CP16" s="129"/>
      <c r="CQ16" s="129"/>
      <c r="CR16" s="129"/>
      <c r="CS16" s="129"/>
      <c r="CT16" s="129"/>
      <c r="CU16" s="129"/>
      <c r="CV16" s="129"/>
      <c r="CW16" s="129"/>
      <c r="CX16" s="129"/>
      <c r="CY16" s="129"/>
      <c r="CZ16" s="129"/>
      <c r="DA16" s="21"/>
      <c r="DB16" s="21"/>
      <c r="DC16" s="21"/>
      <c r="DD16" s="21"/>
    </row>
    <row r="17" spans="1:108" s="123" customFormat="1" ht="26.25" x14ac:dyDescent="0.25">
      <c r="A17" s="1718" t="s">
        <v>1396</v>
      </c>
      <c r="B17" s="1718"/>
      <c r="C17" s="1718"/>
      <c r="D17" s="1718"/>
      <c r="E17" s="1718"/>
      <c r="F17" s="1718"/>
      <c r="G17" s="1718"/>
      <c r="H17" s="1718"/>
      <c r="I17" s="1718"/>
      <c r="J17" s="1718"/>
      <c r="K17" s="1718"/>
      <c r="L17" s="1718"/>
      <c r="M17" s="1718"/>
      <c r="N17" s="1718"/>
      <c r="O17" s="1718"/>
      <c r="P17" s="1718"/>
      <c r="Q17" s="1718"/>
      <c r="R17" s="1718"/>
      <c r="S17" s="1718"/>
      <c r="T17" s="1718"/>
      <c r="U17" s="1718"/>
      <c r="V17" s="1718"/>
      <c r="W17" s="1718"/>
      <c r="X17" s="1718"/>
      <c r="Y17" s="1718"/>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129"/>
      <c r="CI17" s="129"/>
      <c r="CJ17" s="129"/>
      <c r="CK17" s="129"/>
      <c r="CL17" s="129"/>
      <c r="CM17" s="129"/>
      <c r="CN17" s="129"/>
      <c r="CO17" s="129"/>
      <c r="CP17" s="129"/>
      <c r="CQ17" s="129"/>
      <c r="CR17" s="129"/>
      <c r="CS17" s="129"/>
      <c r="CT17" s="129"/>
      <c r="CU17" s="129"/>
      <c r="CV17" s="129"/>
      <c r="CW17" s="129"/>
      <c r="CX17" s="129"/>
      <c r="CY17" s="129"/>
      <c r="CZ17" s="129"/>
      <c r="DA17" s="21"/>
      <c r="DB17" s="21"/>
      <c r="DC17" s="21"/>
      <c r="DD17" s="21"/>
    </row>
    <row r="18" spans="1:108" s="1370" customFormat="1" ht="18" customHeight="1" x14ac:dyDescent="0.25">
      <c r="A18" s="1371">
        <f>SUM(A19:A22)</f>
        <v>70</v>
      </c>
      <c r="B18" s="113" t="str">
        <f>IF(Borrower1="","Applicant 1",Borrower1)</f>
        <v>Applicant 1</v>
      </c>
      <c r="C18" s="110"/>
      <c r="D18" s="110"/>
      <c r="E18" s="1371">
        <f>SUM(E19:E22)</f>
        <v>70</v>
      </c>
      <c r="F18" s="113" t="str">
        <f>IF(Borrower2="","Applicant 2",Borrower2)</f>
        <v>Applicant 2</v>
      </c>
      <c r="G18" s="110"/>
      <c r="H18" s="110"/>
      <c r="I18" s="21"/>
      <c r="J18" s="1988" t="s">
        <v>1410</v>
      </c>
      <c r="K18" s="1989"/>
      <c r="L18" s="1989"/>
      <c r="M18" s="1989"/>
      <c r="N18" s="1989"/>
      <c r="O18" s="1989"/>
      <c r="P18" s="1989"/>
      <c r="Q18" s="1989"/>
      <c r="R18" s="1989"/>
      <c r="S18" s="1989"/>
      <c r="T18" s="1989"/>
      <c r="U18" s="1989"/>
      <c r="V18" s="1989"/>
      <c r="W18" s="1989"/>
      <c r="X18" s="1989"/>
      <c r="Y18" s="1990"/>
      <c r="AA18" s="189"/>
      <c r="AB18" s="189"/>
      <c r="AC18" s="189"/>
      <c r="AD18" s="189"/>
      <c r="AE18" s="189"/>
      <c r="AF18" s="189"/>
      <c r="AG18" s="189"/>
      <c r="AH18" s="189"/>
      <c r="AI18" s="189"/>
      <c r="AJ18" s="1376" t="s">
        <v>1398</v>
      </c>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91"/>
      <c r="CI18" s="191"/>
      <c r="CJ18" s="191"/>
      <c r="CK18" s="191"/>
      <c r="CL18" s="191"/>
      <c r="CM18" s="191"/>
      <c r="CN18" s="191"/>
      <c r="CO18" s="191"/>
      <c r="CP18" s="191"/>
      <c r="CQ18" s="191"/>
      <c r="CR18" s="191"/>
      <c r="CS18" s="191"/>
      <c r="CT18" s="191"/>
      <c r="CU18" s="191"/>
      <c r="CV18" s="191"/>
      <c r="CW18" s="191"/>
      <c r="CX18" s="191"/>
      <c r="CY18" s="191"/>
      <c r="CZ18" s="191"/>
      <c r="DA18" s="192"/>
      <c r="DB18" s="192"/>
      <c r="DC18" s="192"/>
      <c r="DD18" s="192"/>
    </row>
    <row r="19" spans="1:108" s="123" customFormat="1" ht="18.600000000000001" customHeight="1" x14ac:dyDescent="0.25">
      <c r="A19" s="1371">
        <f>B19*C19</f>
        <v>0</v>
      </c>
      <c r="B19" s="848"/>
      <c r="C19" s="1369">
        <v>65</v>
      </c>
      <c r="D19" s="110" t="s">
        <v>292</v>
      </c>
      <c r="E19" s="1371">
        <f>F19*G19</f>
        <v>0</v>
      </c>
      <c r="F19" s="848"/>
      <c r="G19" s="1369">
        <v>65</v>
      </c>
      <c r="H19" s="110" t="s">
        <v>292</v>
      </c>
      <c r="I19" s="21"/>
      <c r="J19" s="1374" t="s">
        <v>1407</v>
      </c>
      <c r="K19" s="1984"/>
      <c r="L19" s="1984"/>
      <c r="M19" s="1984"/>
      <c r="N19" s="1984"/>
      <c r="O19" s="1984"/>
      <c r="P19" s="1984"/>
      <c r="Q19" s="1984"/>
      <c r="R19" s="1984"/>
      <c r="S19" s="1984"/>
      <c r="T19" s="1984"/>
      <c r="U19" s="1984"/>
      <c r="V19" s="1992" t="s">
        <v>1405</v>
      </c>
      <c r="W19" s="1992"/>
      <c r="X19" s="1372">
        <f>+Funding!AO22</f>
        <v>0</v>
      </c>
      <c r="Y19" s="1373" t="s">
        <v>292</v>
      </c>
      <c r="AA19" s="94"/>
      <c r="AB19" s="94"/>
      <c r="AC19" s="94"/>
      <c r="AD19" s="94"/>
      <c r="AE19" s="94"/>
      <c r="AF19" s="94"/>
      <c r="AG19" s="94"/>
      <c r="AH19" s="94"/>
      <c r="AI19" s="94"/>
      <c r="AJ19" s="94" t="s">
        <v>1397</v>
      </c>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129"/>
      <c r="CI19" s="129"/>
      <c r="CJ19" s="129"/>
      <c r="CK19" s="129"/>
      <c r="CL19" s="129"/>
      <c r="CM19" s="129"/>
      <c r="CN19" s="129"/>
      <c r="CO19" s="129"/>
      <c r="CP19" s="129"/>
      <c r="CQ19" s="129"/>
      <c r="CR19" s="129"/>
      <c r="CS19" s="129"/>
      <c r="CT19" s="129"/>
      <c r="CU19" s="129"/>
      <c r="CV19" s="129"/>
      <c r="CW19" s="129"/>
      <c r="CX19" s="129"/>
      <c r="CY19" s="129"/>
      <c r="CZ19" s="129"/>
      <c r="DA19" s="21"/>
      <c r="DB19" s="21"/>
      <c r="DC19" s="21"/>
      <c r="DD19" s="21"/>
    </row>
    <row r="20" spans="1:108" s="123" customFormat="1" ht="18.600000000000001" customHeight="1" x14ac:dyDescent="0.25">
      <c r="A20" s="1371">
        <f t="shared" ref="A20:A22" si="0">B20*C20</f>
        <v>70</v>
      </c>
      <c r="B20" s="848">
        <v>1</v>
      </c>
      <c r="C20" s="1369">
        <v>70</v>
      </c>
      <c r="D20" s="110" t="s">
        <v>292</v>
      </c>
      <c r="E20" s="1371">
        <f t="shared" ref="E20:E22" si="1">F20*G20</f>
        <v>70</v>
      </c>
      <c r="F20" s="848">
        <v>1</v>
      </c>
      <c r="G20" s="1369">
        <v>70</v>
      </c>
      <c r="H20" s="110" t="s">
        <v>292</v>
      </c>
      <c r="I20" s="21"/>
      <c r="J20" s="1375" t="s">
        <v>1408</v>
      </c>
      <c r="K20" s="1984"/>
      <c r="L20" s="1984"/>
      <c r="M20" s="1984"/>
      <c r="N20" s="1984"/>
      <c r="O20" s="1984"/>
      <c r="P20" s="1984"/>
      <c r="Q20" s="1984"/>
      <c r="R20" s="1984"/>
      <c r="S20" s="1984"/>
      <c r="T20" s="1984"/>
      <c r="U20" s="1984"/>
      <c r="V20" s="1992" t="s">
        <v>1405</v>
      </c>
      <c r="W20" s="1992"/>
      <c r="X20" s="1372">
        <f>+X19</f>
        <v>0</v>
      </c>
      <c r="Y20" s="1373" t="s">
        <v>292</v>
      </c>
      <c r="AA20" s="94"/>
      <c r="AB20" s="94"/>
      <c r="AC20" s="94"/>
      <c r="AD20" s="94"/>
      <c r="AE20" s="94"/>
      <c r="AF20" s="94"/>
      <c r="AG20" s="94"/>
      <c r="AH20" s="94"/>
      <c r="AI20" s="94"/>
      <c r="AJ20" s="94" t="s">
        <v>1406</v>
      </c>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129"/>
      <c r="CI20" s="129"/>
      <c r="CJ20" s="129"/>
      <c r="CK20" s="129"/>
      <c r="CL20" s="129"/>
      <c r="CM20" s="129"/>
      <c r="CN20" s="129"/>
      <c r="CO20" s="129"/>
      <c r="CP20" s="129"/>
      <c r="CQ20" s="129"/>
      <c r="CR20" s="129"/>
      <c r="CS20" s="129"/>
      <c r="CT20" s="129"/>
      <c r="CU20" s="129"/>
      <c r="CV20" s="129"/>
      <c r="CW20" s="129"/>
      <c r="CX20" s="129"/>
      <c r="CY20" s="129"/>
      <c r="CZ20" s="129"/>
      <c r="DA20" s="21"/>
      <c r="DB20" s="21"/>
      <c r="DC20" s="21"/>
      <c r="DD20" s="21"/>
    </row>
    <row r="21" spans="1:108" s="123" customFormat="1" ht="18.600000000000001" customHeight="1" x14ac:dyDescent="0.25">
      <c r="A21" s="1371">
        <f t="shared" si="0"/>
        <v>0</v>
      </c>
      <c r="B21" s="848"/>
      <c r="C21" s="1369">
        <v>75</v>
      </c>
      <c r="D21" s="110" t="s">
        <v>292</v>
      </c>
      <c r="E21" s="1371">
        <f t="shared" si="1"/>
        <v>0</v>
      </c>
      <c r="F21" s="848"/>
      <c r="G21" s="1369">
        <v>75</v>
      </c>
      <c r="H21" s="110" t="s">
        <v>292</v>
      </c>
      <c r="I21" s="21"/>
      <c r="J21" s="1993"/>
      <c r="K21" s="1994"/>
      <c r="L21" s="1994"/>
      <c r="M21" s="1994"/>
      <c r="N21" s="1994"/>
      <c r="O21" s="1994"/>
      <c r="P21" s="1994"/>
      <c r="Q21" s="1994"/>
      <c r="R21" s="1994"/>
      <c r="S21" s="1994"/>
      <c r="T21" s="1994"/>
      <c r="U21" s="1994"/>
      <c r="V21" s="1994"/>
      <c r="W21" s="1994"/>
      <c r="X21" s="1994"/>
      <c r="Y21" s="1995"/>
      <c r="AA21" s="94"/>
      <c r="AB21" s="94"/>
      <c r="AC21" s="94"/>
      <c r="AD21" s="94"/>
      <c r="AE21" s="94"/>
      <c r="AF21" s="94"/>
      <c r="AG21" s="94"/>
      <c r="AH21" s="94"/>
      <c r="AI21" s="94"/>
      <c r="AJ21" s="94" t="s">
        <v>1399</v>
      </c>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129"/>
      <c r="CI21" s="129"/>
      <c r="CJ21" s="129"/>
      <c r="CK21" s="129"/>
      <c r="CL21" s="129"/>
      <c r="CM21" s="129"/>
      <c r="CN21" s="129"/>
      <c r="CO21" s="129"/>
      <c r="CP21" s="129"/>
      <c r="CQ21" s="129"/>
      <c r="CR21" s="129"/>
      <c r="CS21" s="129"/>
      <c r="CT21" s="129"/>
      <c r="CU21" s="129"/>
      <c r="CV21" s="129"/>
      <c r="CW21" s="129"/>
      <c r="CX21" s="129"/>
      <c r="CY21" s="129"/>
      <c r="CZ21" s="129"/>
      <c r="DA21" s="21"/>
      <c r="DB21" s="21"/>
      <c r="DC21" s="21"/>
      <c r="DD21" s="21"/>
    </row>
    <row r="22" spans="1:108" ht="18.600000000000001" customHeight="1" x14ac:dyDescent="0.25">
      <c r="A22" s="1371">
        <f t="shared" si="0"/>
        <v>0</v>
      </c>
      <c r="B22" s="848"/>
      <c r="C22" s="1369">
        <v>80</v>
      </c>
      <c r="D22" s="110" t="s">
        <v>292</v>
      </c>
      <c r="E22" s="1371">
        <f t="shared" si="1"/>
        <v>0</v>
      </c>
      <c r="F22" s="848"/>
      <c r="G22" s="1369">
        <v>80</v>
      </c>
      <c r="H22" s="110" t="s">
        <v>292</v>
      </c>
      <c r="J22" s="1985"/>
      <c r="K22" s="1986"/>
      <c r="L22" s="1986"/>
      <c r="M22" s="1986"/>
      <c r="N22" s="1986"/>
      <c r="O22" s="1986"/>
      <c r="P22" s="1986"/>
      <c r="Q22" s="1986"/>
      <c r="R22" s="1986"/>
      <c r="S22" s="1986"/>
      <c r="T22" s="1986"/>
      <c r="U22" s="1986"/>
      <c r="V22" s="1986"/>
      <c r="W22" s="1986"/>
      <c r="X22" s="1986"/>
      <c r="Y22" s="1987"/>
      <c r="AJ22" s="94" t="s">
        <v>1400</v>
      </c>
    </row>
    <row r="23" spans="1:108" ht="13.9" customHeight="1" x14ac:dyDescent="0.25">
      <c r="A23" s="1970" t="s">
        <v>1432</v>
      </c>
      <c r="B23" s="1970"/>
      <c r="C23" s="1970"/>
      <c r="D23" s="1970"/>
      <c r="E23" s="1970"/>
      <c r="F23" s="1970" t="s">
        <v>1432</v>
      </c>
      <c r="G23" s="1970"/>
      <c r="H23" s="1970"/>
      <c r="I23" s="1970"/>
      <c r="J23" s="1441"/>
      <c r="K23" s="1441"/>
      <c r="L23" s="1441"/>
      <c r="M23" s="1441"/>
      <c r="N23" s="1441"/>
      <c r="O23" s="1441"/>
      <c r="P23" s="1441"/>
      <c r="Q23" s="1441"/>
      <c r="R23" s="1441"/>
      <c r="S23" s="1441"/>
      <c r="T23" s="1441"/>
      <c r="U23" s="1441"/>
      <c r="V23" s="1441"/>
      <c r="W23" s="1441"/>
      <c r="X23" s="1441"/>
      <c r="Y23" s="1441"/>
    </row>
    <row r="24" spans="1:108" ht="13.9" customHeight="1" x14ac:dyDescent="0.25">
      <c r="A24" s="1971" t="e">
        <f ca="1">NOW()+Profile!BO6*365.25</f>
        <v>#VALUE!</v>
      </c>
      <c r="B24" s="1971"/>
      <c r="C24" s="1972" t="str">
        <f>IF(A18=0,"",+Profile!BO10)</f>
        <v/>
      </c>
      <c r="D24" s="1972"/>
      <c r="E24" s="27"/>
      <c r="F24" s="1973" t="e">
        <f ca="1">NOW()+Profile!BP6*365.25</f>
        <v>#VALUE!</v>
      </c>
      <c r="G24" s="1973"/>
      <c r="H24" s="1970" t="str">
        <f>IF(E18=0,"",+Profile!BP10)</f>
        <v/>
      </c>
      <c r="I24" s="1970"/>
      <c r="AJ24" s="94" t="s">
        <v>1401</v>
      </c>
    </row>
    <row r="25" spans="1:108" ht="18.600000000000001" customHeight="1" x14ac:dyDescent="0.25">
      <c r="B25" s="1443"/>
      <c r="C25" s="1444"/>
      <c r="D25" s="1444"/>
      <c r="E25" s="1445">
        <f>SUM(E20:E24)</f>
        <v>70</v>
      </c>
      <c r="F25" s="1446"/>
      <c r="G25" s="1446"/>
      <c r="H25" s="1446"/>
      <c r="I25" s="1447"/>
      <c r="J25" s="1447"/>
      <c r="K25" s="1447"/>
      <c r="L25" s="1447"/>
      <c r="M25" s="1447"/>
      <c r="N25" s="1447"/>
      <c r="O25" s="1447"/>
      <c r="P25" s="1447"/>
      <c r="Q25" s="1447"/>
      <c r="R25" s="1447"/>
      <c r="S25" s="1447"/>
      <c r="T25" s="1447"/>
      <c r="U25" s="1447"/>
      <c r="V25" s="1447"/>
      <c r="W25" s="1447"/>
      <c r="X25" s="1447"/>
      <c r="Y25" s="1448"/>
      <c r="AJ25" s="94" t="s">
        <v>1402</v>
      </c>
    </row>
    <row r="26" spans="1:108" ht="18.600000000000001" customHeight="1" x14ac:dyDescent="0.25">
      <c r="B26" s="1449"/>
      <c r="C26" s="1442"/>
      <c r="D26" s="1442"/>
      <c r="E26" s="1442"/>
      <c r="F26" s="1442"/>
      <c r="G26" s="1442"/>
      <c r="H26" s="1442"/>
      <c r="I26" s="1442"/>
      <c r="J26" s="1442"/>
      <c r="K26" s="1442"/>
      <c r="L26" s="1442"/>
      <c r="M26" s="1442"/>
      <c r="N26" s="1442"/>
      <c r="O26" s="1442"/>
      <c r="P26" s="1442"/>
      <c r="Q26" s="1442"/>
      <c r="R26" s="1442"/>
      <c r="S26" s="1442"/>
      <c r="T26" s="1442"/>
      <c r="U26" s="1442"/>
      <c r="V26" s="1442"/>
      <c r="W26" s="1442"/>
      <c r="X26" s="1442"/>
      <c r="Y26" s="1450"/>
      <c r="AJ26" s="94" t="s">
        <v>1403</v>
      </c>
    </row>
    <row r="27" spans="1:108" ht="18.600000000000001" customHeight="1" x14ac:dyDescent="0.25">
      <c r="B27" s="1449"/>
      <c r="C27" s="1442"/>
      <c r="D27" s="1442"/>
      <c r="E27" s="1442"/>
      <c r="F27" s="1442"/>
      <c r="G27" s="1442"/>
      <c r="H27" s="1442"/>
      <c r="I27" s="1442"/>
      <c r="J27" s="1442"/>
      <c r="K27" s="1442"/>
      <c r="L27" s="1442"/>
      <c r="M27" s="1442"/>
      <c r="N27" s="1442"/>
      <c r="O27" s="1442"/>
      <c r="P27" s="1442"/>
      <c r="Q27" s="1442"/>
      <c r="R27" s="1442"/>
      <c r="S27" s="1442"/>
      <c r="T27" s="1442"/>
      <c r="U27" s="1442"/>
      <c r="V27" s="1442"/>
      <c r="W27" s="1442"/>
      <c r="X27" s="1442"/>
      <c r="Y27" s="1450"/>
      <c r="AJ27" s="94" t="s">
        <v>1404</v>
      </c>
    </row>
    <row r="28" spans="1:108" ht="18.75" customHeight="1" x14ac:dyDescent="0.25">
      <c r="B28" s="1449"/>
      <c r="C28" s="1442"/>
      <c r="D28" s="1442"/>
      <c r="E28" s="1442"/>
      <c r="F28" s="1442"/>
      <c r="G28" s="1442"/>
      <c r="H28" s="1442"/>
      <c r="I28" s="1442"/>
      <c r="J28" s="1442"/>
      <c r="K28" s="1442"/>
      <c r="L28" s="1442"/>
      <c r="M28" s="1442"/>
      <c r="N28" s="1442"/>
      <c r="O28" s="1442"/>
      <c r="P28" s="1442"/>
      <c r="Q28" s="1442"/>
      <c r="R28" s="1442"/>
      <c r="S28" s="1442"/>
      <c r="T28" s="1442"/>
      <c r="U28" s="1442"/>
      <c r="V28" s="1442"/>
      <c r="W28" s="1442"/>
      <c r="X28" s="1442"/>
      <c r="Y28" s="1450"/>
    </row>
    <row r="29" spans="1:108" ht="18.75" customHeight="1" x14ac:dyDescent="0.25">
      <c r="B29" s="1449"/>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50"/>
    </row>
    <row r="30" spans="1:108" ht="18.75" customHeight="1" x14ac:dyDescent="0.25">
      <c r="B30" s="1449"/>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50"/>
    </row>
    <row r="31" spans="1:108" ht="18.75" customHeight="1" x14ac:dyDescent="0.25">
      <c r="B31" s="1449"/>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50"/>
    </row>
    <row r="32" spans="1:108" ht="18.75" customHeight="1" x14ac:dyDescent="0.25">
      <c r="B32" s="1451"/>
      <c r="C32" s="1452"/>
      <c r="D32" s="1452"/>
      <c r="E32" s="1452"/>
      <c r="F32" s="1452"/>
      <c r="G32" s="1452"/>
      <c r="H32" s="1452"/>
      <c r="I32" s="1452"/>
      <c r="J32" s="1452"/>
      <c r="K32" s="1452"/>
      <c r="L32" s="1452"/>
      <c r="M32" s="1452"/>
      <c r="N32" s="1452"/>
      <c r="O32" s="1452"/>
      <c r="P32" s="1452"/>
      <c r="Q32" s="1452"/>
      <c r="R32" s="1452"/>
      <c r="S32" s="1452"/>
      <c r="T32" s="1452"/>
      <c r="U32" s="1452"/>
      <c r="V32" s="1452"/>
      <c r="W32" s="1452"/>
      <c r="X32" s="1452"/>
      <c r="Y32" s="1453"/>
    </row>
  </sheetData>
  <mergeCells count="37">
    <mergeCell ref="J22:Y22"/>
    <mergeCell ref="J18:Y18"/>
    <mergeCell ref="B4:Y4"/>
    <mergeCell ref="A1:S1"/>
    <mergeCell ref="AA1:CQ1"/>
    <mergeCell ref="A2:Z2"/>
    <mergeCell ref="B3:E3"/>
    <mergeCell ref="G3:Q3"/>
    <mergeCell ref="R3:T3"/>
    <mergeCell ref="U3:Z3"/>
    <mergeCell ref="A5:Y5"/>
    <mergeCell ref="A9:Y9"/>
    <mergeCell ref="V19:W19"/>
    <mergeCell ref="V20:W20"/>
    <mergeCell ref="K19:U19"/>
    <mergeCell ref="J21:Y21"/>
    <mergeCell ref="K20:U20"/>
    <mergeCell ref="A13:Y13"/>
    <mergeCell ref="A17:Y17"/>
    <mergeCell ref="B15:E15"/>
    <mergeCell ref="B16:E16"/>
    <mergeCell ref="B12:E12"/>
    <mergeCell ref="B14:E14"/>
    <mergeCell ref="F6:Y8"/>
    <mergeCell ref="F10:Y12"/>
    <mergeCell ref="F14:Y16"/>
    <mergeCell ref="B6:E6"/>
    <mergeCell ref="B7:E7"/>
    <mergeCell ref="B8:E8"/>
    <mergeCell ref="B10:E10"/>
    <mergeCell ref="B11:E11"/>
    <mergeCell ref="A23:E23"/>
    <mergeCell ref="F23:I23"/>
    <mergeCell ref="A24:B24"/>
    <mergeCell ref="C24:D24"/>
    <mergeCell ref="F24:G24"/>
    <mergeCell ref="H24:I24"/>
  </mergeCells>
  <conditionalFormatting sqref="F6">
    <cfRule type="iconSet" priority="36">
      <iconSet iconSet="3Symbols2" showValue="0">
        <cfvo type="percent" val="0"/>
        <cfvo type="num" val="0.5"/>
        <cfvo type="num" val="1"/>
      </iconSet>
    </cfRule>
  </conditionalFormatting>
  <conditionalFormatting sqref="F10">
    <cfRule type="iconSet" priority="6">
      <iconSet iconSet="3Symbols2" showValue="0">
        <cfvo type="percent" val="0"/>
        <cfvo type="num" val="0.5"/>
        <cfvo type="num" val="1"/>
      </iconSet>
    </cfRule>
  </conditionalFormatting>
  <conditionalFormatting sqref="F14">
    <cfRule type="iconSet" priority="5">
      <iconSet iconSet="3Symbols2" showValue="0">
        <cfvo type="percent" val="0"/>
        <cfvo type="num" val="0.5"/>
        <cfvo type="num" val="1"/>
      </iconSet>
    </cfRule>
  </conditionalFormatting>
  <conditionalFormatting sqref="B19:B22">
    <cfRule type="iconSet" priority="2">
      <iconSet iconSet="3Symbols2" showValue="0">
        <cfvo type="percent" val="0"/>
        <cfvo type="num" val="0.5"/>
        <cfvo type="num" val="1"/>
      </iconSet>
    </cfRule>
  </conditionalFormatting>
  <conditionalFormatting sqref="F19:F22">
    <cfRule type="iconSet" priority="1">
      <iconSet iconSet="3Symbols2" showValue="0">
        <cfvo type="percent" val="0"/>
        <cfvo type="num" val="0.5"/>
        <cfvo type="num" val="1"/>
      </iconSet>
    </cfRule>
  </conditionalFormatting>
  <dataValidations count="1">
    <dataValidation type="list" allowBlank="1" showInputMessage="1" showErrorMessage="1" sqref="K19:K20">
      <formula1>$AJ$19:$AJ$30</formula1>
    </dataValidation>
  </dataValidations>
  <printOptions horizontalCentered="1"/>
  <pageMargins left="0.23622047244094491" right="0.23622047244094491" top="0.74803149606299213" bottom="0.74803149606299213" header="0.31496062992125984" footer="0.31496062992125984"/>
  <pageSetup paperSize="9" orientation="portrait" r:id="rId1"/>
  <headerFooter alignWithMargins="0">
    <oddHeader>&amp;C&amp;G</oddHead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DD53"/>
  <sheetViews>
    <sheetView showGridLines="0" showRuler="0" topLeftCell="A10" zoomScaleNormal="100" workbookViewId="0">
      <selection activeCell="H31" sqref="H31"/>
    </sheetView>
  </sheetViews>
  <sheetFormatPr defaultColWidth="3.5703125" defaultRowHeight="18.75" customHeight="1" x14ac:dyDescent="0.25"/>
  <cols>
    <col min="1" max="8" width="3.5703125" style="21"/>
    <col min="9" max="9" width="3.5703125" style="21" customWidth="1"/>
    <col min="10" max="13" width="3.5703125" style="21"/>
    <col min="14" max="14" width="3.5703125" style="23"/>
    <col min="15" max="24" width="3.5703125" style="21"/>
    <col min="25" max="25" width="4.5703125" style="21" customWidth="1"/>
    <col min="26" max="26" width="2" style="123" customWidth="1"/>
    <col min="27" max="71" width="3.5703125" style="94" customWidth="1"/>
    <col min="72" max="72" width="30.85546875" style="94" customWidth="1"/>
    <col min="73" max="75" width="6.140625" style="94" bestFit="1" customWidth="1"/>
    <col min="76" max="76" width="5.28515625" style="94" bestFit="1" customWidth="1"/>
    <col min="77" max="77" width="8.5703125" style="94" customWidth="1"/>
    <col min="78" max="78" width="13.28515625" style="94" bestFit="1" customWidth="1"/>
    <col min="79" max="79" width="3.5703125" style="94"/>
    <col min="80" max="80" width="6.140625" style="94" bestFit="1" customWidth="1"/>
    <col min="81" max="81" width="12.28515625" style="94" bestFit="1" customWidth="1"/>
    <col min="82" max="85" width="3.5703125" style="94"/>
    <col min="86" max="92" width="3.5703125" style="129"/>
    <col min="93" max="93" width="8.5703125" style="129" customWidth="1"/>
    <col min="94" max="94" width="13.5703125" style="129" bestFit="1" customWidth="1"/>
    <col min="95" max="104" width="3.5703125" style="129"/>
    <col min="105" max="16384" width="3.5703125" style="21"/>
  </cols>
  <sheetData>
    <row r="1" spans="1:108" ht="48" customHeight="1" x14ac:dyDescent="0.25">
      <c r="A1" s="1534" t="s">
        <v>1334</v>
      </c>
      <c r="B1" s="1534"/>
      <c r="C1" s="1534"/>
      <c r="D1" s="1534"/>
      <c r="E1" s="1534"/>
      <c r="F1" s="1534"/>
      <c r="G1" s="1534"/>
      <c r="H1" s="1534"/>
      <c r="I1" s="1534"/>
      <c r="J1" s="1534"/>
      <c r="K1" s="1534"/>
      <c r="L1" s="1534"/>
      <c r="M1" s="1534"/>
      <c r="N1" s="1534"/>
      <c r="O1" s="1534"/>
      <c r="P1" s="1534"/>
      <c r="Q1" s="1534"/>
      <c r="R1" s="1534"/>
      <c r="S1" s="1534"/>
      <c r="AA1" s="1991" t="s">
        <v>434</v>
      </c>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c r="CF1" s="1991"/>
      <c r="CG1" s="1991"/>
      <c r="CH1" s="1991"/>
      <c r="CI1" s="1991"/>
      <c r="CJ1" s="1991"/>
      <c r="CK1" s="1991"/>
      <c r="CL1" s="1991"/>
      <c r="CM1" s="1991"/>
      <c r="CN1" s="1991"/>
      <c r="CO1" s="1991"/>
      <c r="CP1" s="1991"/>
      <c r="CQ1" s="1991"/>
    </row>
    <row r="2" spans="1:108" s="27" customFormat="1" ht="11.25"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c r="BI2" s="597"/>
      <c r="BJ2" s="597"/>
      <c r="BK2" s="597"/>
      <c r="BL2" s="597"/>
      <c r="BM2" s="597"/>
      <c r="BN2" s="597"/>
      <c r="BO2" s="597"/>
      <c r="BP2" s="597"/>
      <c r="BQ2" s="597"/>
      <c r="BR2" s="597"/>
      <c r="BS2" s="597"/>
      <c r="BT2" s="597"/>
      <c r="BU2" s="597"/>
      <c r="BV2" s="597"/>
      <c r="BW2" s="597"/>
      <c r="BX2" s="597"/>
      <c r="BY2" s="597"/>
      <c r="BZ2" s="597"/>
      <c r="CA2" s="597"/>
      <c r="CB2" s="597"/>
      <c r="CC2" s="597"/>
      <c r="CD2" s="597"/>
      <c r="CE2" s="597"/>
      <c r="CF2" s="597"/>
      <c r="CG2" s="597"/>
      <c r="CH2" s="153"/>
      <c r="CI2" s="153"/>
      <c r="CJ2" s="153"/>
      <c r="CK2" s="153"/>
      <c r="CL2" s="153"/>
      <c r="CM2" s="153"/>
      <c r="CN2" s="153"/>
      <c r="CO2" s="153"/>
      <c r="CP2" s="153"/>
      <c r="CQ2" s="153"/>
      <c r="CR2" s="153"/>
      <c r="CS2" s="153"/>
      <c r="CT2" s="153"/>
      <c r="CU2" s="153"/>
      <c r="CV2" s="153"/>
      <c r="CW2" s="153"/>
      <c r="CX2" s="153"/>
      <c r="CY2" s="153"/>
      <c r="CZ2" s="153"/>
    </row>
    <row r="3" spans="1:108" s="192" customFormat="1" ht="12.75" x14ac:dyDescent="0.25">
      <c r="A3" s="686"/>
      <c r="B3" s="1724" t="s">
        <v>669</v>
      </c>
      <c r="C3" s="1724"/>
      <c r="D3" s="1724"/>
      <c r="E3" s="1724"/>
      <c r="F3" s="687"/>
      <c r="G3" s="1726" t="str">
        <f>+Profile!BE8</f>
        <v xml:space="preserve"> </v>
      </c>
      <c r="H3" s="1726"/>
      <c r="I3" s="1726"/>
      <c r="J3" s="1726"/>
      <c r="K3" s="1726"/>
      <c r="L3" s="1726"/>
      <c r="M3" s="1726"/>
      <c r="N3" s="1726"/>
      <c r="O3" s="1726"/>
      <c r="P3" s="1726"/>
      <c r="Q3" s="1726"/>
      <c r="R3" s="1724" t="s">
        <v>685</v>
      </c>
      <c r="S3" s="1724"/>
      <c r="T3" s="1724"/>
      <c r="U3" s="1727" t="str">
        <f>+Funding!U3</f>
        <v>Purchase - Invest</v>
      </c>
      <c r="V3" s="1727"/>
      <c r="W3" s="1727"/>
      <c r="X3" s="1727"/>
      <c r="Y3" s="1727"/>
      <c r="Z3" s="1727"/>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90"/>
      <c r="BV3" s="190"/>
      <c r="BW3" s="190"/>
      <c r="BX3" s="190"/>
      <c r="BY3" s="190"/>
      <c r="BZ3" s="190"/>
      <c r="CA3" s="190"/>
      <c r="CB3" s="190"/>
      <c r="CC3" s="190"/>
      <c r="CD3" s="190"/>
      <c r="CE3" s="190"/>
      <c r="CF3" s="190"/>
      <c r="CG3" s="190"/>
      <c r="CH3" s="191"/>
      <c r="CI3" s="191"/>
      <c r="CJ3" s="191"/>
      <c r="CK3" s="191"/>
      <c r="CL3" s="191"/>
      <c r="CM3" s="191"/>
      <c r="CN3" s="191"/>
      <c r="CO3" s="191"/>
      <c r="CP3" s="191"/>
      <c r="CQ3" s="191"/>
      <c r="CR3" s="191"/>
      <c r="CS3" s="191"/>
      <c r="CT3" s="191"/>
      <c r="CU3" s="191"/>
      <c r="CV3" s="191"/>
      <c r="CW3" s="191"/>
      <c r="CX3" s="191"/>
      <c r="CY3" s="191"/>
      <c r="CZ3" s="191"/>
    </row>
    <row r="4" spans="1:108" s="225" customFormat="1" ht="15" x14ac:dyDescent="0.25">
      <c r="A4" s="686"/>
      <c r="B4" s="1724"/>
      <c r="C4" s="1724"/>
      <c r="D4" s="1724"/>
      <c r="E4" s="1724"/>
      <c r="F4" s="687"/>
      <c r="G4" s="1725"/>
      <c r="H4" s="1725"/>
      <c r="I4" s="1725"/>
      <c r="J4" s="688"/>
      <c r="K4" s="688"/>
      <c r="L4" s="688"/>
      <c r="M4" s="886"/>
      <c r="N4" s="2001" t="str">
        <f>IF(U4="","",IF(U3=U4,"","Purpose does not match Funding"))</f>
        <v>Purpose does not match Funding</v>
      </c>
      <c r="O4" s="2001"/>
      <c r="P4" s="2001"/>
      <c r="Q4" s="2001"/>
      <c r="R4" s="2001"/>
      <c r="S4" s="2001"/>
      <c r="T4" s="2001"/>
      <c r="U4" s="2000" t="str">
        <f>IF(SUM(F7:F8)=0,"",IF(U3=BT7,"",+BT7))</f>
        <v xml:space="preserve">Purchase - </v>
      </c>
      <c r="V4" s="2000"/>
      <c r="W4" s="2000"/>
      <c r="X4" s="2000"/>
      <c r="Y4" s="2000"/>
      <c r="Z4" s="686"/>
      <c r="AA4" s="213"/>
      <c r="AB4" s="213"/>
      <c r="AC4" s="213"/>
      <c r="AD4" s="213"/>
      <c r="AE4" s="213"/>
      <c r="AF4" s="213"/>
      <c r="AG4" s="213"/>
      <c r="AH4" s="213"/>
      <c r="AI4" s="213"/>
      <c r="AJ4" s="1996">
        <f>IF(Funding!$A$11="Purchase Price",1,0)</f>
        <v>1</v>
      </c>
      <c r="AK4" s="1996"/>
      <c r="AL4" s="94"/>
      <c r="AM4" s="94"/>
      <c r="AN4" s="94"/>
      <c r="AO4" s="94"/>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23" t="s">
        <v>389</v>
      </c>
      <c r="BV4" s="223" t="s">
        <v>390</v>
      </c>
      <c r="BW4" s="223" t="s">
        <v>758</v>
      </c>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row>
    <row r="5" spans="1:108" ht="18.75" customHeight="1" x14ac:dyDescent="0.25">
      <c r="A5" s="689"/>
      <c r="B5" s="1722" t="s">
        <v>413</v>
      </c>
      <c r="C5" s="1722"/>
      <c r="D5" s="1722"/>
      <c r="E5" s="1722"/>
      <c r="F5" s="1722"/>
      <c r="G5" s="1722"/>
      <c r="H5" s="1722"/>
      <c r="I5" s="1722"/>
      <c r="J5" s="1722"/>
      <c r="K5" s="1722"/>
      <c r="L5" s="1722"/>
      <c r="M5" s="1722"/>
      <c r="N5" s="1722"/>
      <c r="O5" s="1722"/>
      <c r="P5" s="1722"/>
      <c r="Q5" s="1722"/>
      <c r="R5" s="1722"/>
      <c r="S5" s="1722"/>
      <c r="T5" s="1722"/>
      <c r="U5" s="1722"/>
      <c r="V5" s="1722"/>
      <c r="W5" s="1722"/>
      <c r="X5" s="1722"/>
      <c r="Y5" s="1722"/>
      <c r="Z5" s="689"/>
      <c r="AA5" s="94" t="s">
        <v>436</v>
      </c>
      <c r="BT5" s="229" t="str">
        <f>IF(BU5=1,"Live In",IF(BV5=1,"Invest",IF(BW5=1,"Business","")))</f>
        <v/>
      </c>
      <c r="BU5" s="229">
        <f>+L7</f>
        <v>0</v>
      </c>
      <c r="BV5" s="229">
        <f>+Q7</f>
        <v>0</v>
      </c>
      <c r="BW5" s="229">
        <f>+V7</f>
        <v>0</v>
      </c>
      <c r="BX5" s="229"/>
      <c r="BY5" s="229">
        <f>+Lender1</f>
        <v>1</v>
      </c>
      <c r="BZ5" s="229" t="str">
        <f>+G7</f>
        <v>Purchase</v>
      </c>
      <c r="CA5" s="229"/>
      <c r="CB5" s="229"/>
      <c r="CC5" s="229"/>
      <c r="CD5" s="229"/>
      <c r="CE5" s="229"/>
      <c r="CF5" s="229"/>
    </row>
    <row r="6" spans="1:108" ht="26.25" x14ac:dyDescent="0.25">
      <c r="A6" s="728" t="s">
        <v>391</v>
      </c>
      <c r="B6" s="728"/>
      <c r="C6" s="728"/>
      <c r="D6" s="728"/>
      <c r="E6" s="728"/>
      <c r="F6" s="730"/>
      <c r="G6" s="730"/>
      <c r="H6" s="730"/>
      <c r="I6" s="730"/>
      <c r="J6" s="730"/>
      <c r="K6" s="730"/>
      <c r="L6" s="730"/>
      <c r="M6" s="730"/>
      <c r="N6" s="730"/>
      <c r="O6" s="730"/>
      <c r="P6" s="730"/>
      <c r="Q6" s="730"/>
      <c r="R6" s="730"/>
      <c r="S6" s="730"/>
      <c r="T6" s="730"/>
      <c r="U6" s="730"/>
      <c r="V6" s="730"/>
      <c r="W6" s="730"/>
      <c r="X6" s="730"/>
      <c r="Y6" s="730"/>
      <c r="Z6" s="730"/>
      <c r="AA6" s="94" t="s">
        <v>437</v>
      </c>
      <c r="BT6" s="229"/>
      <c r="BU6" s="229"/>
      <c r="BV6" s="229"/>
      <c r="BW6" s="229"/>
      <c r="BX6" s="229"/>
      <c r="BY6" s="229">
        <f t="shared" ref="BY6:BZ9" si="0">+F11</f>
        <v>0</v>
      </c>
      <c r="BZ6" s="229" t="str">
        <f t="shared" si="0"/>
        <v>Consolidation</v>
      </c>
      <c r="CA6" s="229"/>
      <c r="CB6" s="229"/>
      <c r="CC6" s="229"/>
      <c r="CD6" s="229"/>
      <c r="CE6" s="229"/>
      <c r="CF6" s="229"/>
    </row>
    <row r="7" spans="1:108" ht="18.75" customHeight="1" x14ac:dyDescent="0.25">
      <c r="F7" s="823">
        <v>1</v>
      </c>
      <c r="G7" s="1997" t="s">
        <v>295</v>
      </c>
      <c r="H7" s="1998"/>
      <c r="I7" s="1998"/>
      <c r="J7" s="1999"/>
      <c r="K7" s="110"/>
      <c r="L7" s="823"/>
      <c r="M7" s="1997" t="s">
        <v>389</v>
      </c>
      <c r="N7" s="1998"/>
      <c r="O7" s="1999"/>
      <c r="P7" s="110"/>
      <c r="Q7" s="823"/>
      <c r="R7" s="1997" t="s">
        <v>390</v>
      </c>
      <c r="S7" s="1998"/>
      <c r="T7" s="1999"/>
      <c r="U7" s="110"/>
      <c r="V7" s="823"/>
      <c r="W7" s="1997" t="s">
        <v>73</v>
      </c>
      <c r="X7" s="1998"/>
      <c r="Y7" s="1999"/>
      <c r="AA7" s="94" t="s">
        <v>438</v>
      </c>
      <c r="BT7" s="229" t="str">
        <f>IF(F7=1,CONCATENATE("Purchase - ",BT5),CONCATENATE("Refinance - ",BT5))</f>
        <v xml:space="preserve">Purchase - </v>
      </c>
      <c r="BU7" s="229"/>
      <c r="BV7" s="229"/>
      <c r="BW7" s="229"/>
      <c r="BX7" s="229"/>
      <c r="BY7" s="229">
        <f t="shared" si="0"/>
        <v>0</v>
      </c>
      <c r="BZ7" s="229" t="str">
        <f t="shared" si="0"/>
        <v>Cash Out</v>
      </c>
      <c r="CA7" s="229"/>
      <c r="CB7" s="229"/>
      <c r="CC7" s="229"/>
      <c r="CD7" s="229"/>
      <c r="CE7" s="229"/>
      <c r="CF7" s="229"/>
    </row>
    <row r="8" spans="1:108" ht="18.75" customHeight="1" x14ac:dyDescent="0.25">
      <c r="A8" s="110"/>
      <c r="B8" s="110"/>
      <c r="C8" s="110"/>
      <c r="D8" s="110"/>
      <c r="E8" s="110"/>
      <c r="F8" s="823"/>
      <c r="G8" s="1997" t="s">
        <v>388</v>
      </c>
      <c r="H8" s="1998"/>
      <c r="I8" s="1998"/>
      <c r="J8" s="1999"/>
      <c r="K8" s="110"/>
      <c r="L8" s="2028"/>
      <c r="M8" s="2028"/>
      <c r="N8" s="2028"/>
      <c r="O8" s="2028"/>
      <c r="P8" s="2028"/>
      <c r="Q8" s="2028"/>
      <c r="R8" s="2028"/>
      <c r="S8" s="2028"/>
      <c r="T8" s="2028"/>
      <c r="U8" s="2028"/>
      <c r="V8" s="2028"/>
      <c r="W8" s="2028"/>
      <c r="X8" s="2028"/>
      <c r="Y8" s="2028"/>
      <c r="BT8" s="229"/>
      <c r="BU8" s="229"/>
      <c r="BV8" s="229"/>
      <c r="BW8" s="229"/>
      <c r="BX8" s="229"/>
      <c r="BY8" s="229">
        <f t="shared" si="0"/>
        <v>0</v>
      </c>
      <c r="BZ8" s="229" t="str">
        <f t="shared" si="0"/>
        <v>Shares / Invest</v>
      </c>
      <c r="CA8" s="229"/>
      <c r="CB8" s="229"/>
      <c r="CC8" s="229"/>
      <c r="CD8" s="229"/>
      <c r="CE8" s="229"/>
      <c r="CF8" s="229"/>
    </row>
    <row r="9" spans="1:108" ht="26.25" x14ac:dyDescent="0.25">
      <c r="A9" s="798" t="s">
        <v>759</v>
      </c>
      <c r="B9" s="123"/>
      <c r="C9" s="123"/>
      <c r="D9" s="123"/>
      <c r="E9" s="123"/>
      <c r="F9" s="123"/>
      <c r="G9" s="123"/>
      <c r="H9" s="123"/>
      <c r="I9" s="123"/>
      <c r="J9" s="123"/>
      <c r="K9" s="123"/>
      <c r="L9" s="798" t="s">
        <v>377</v>
      </c>
      <c r="M9" s="824"/>
      <c r="N9" s="824"/>
      <c r="O9" s="824"/>
      <c r="P9" s="824"/>
      <c r="Q9" s="824"/>
      <c r="R9" s="824"/>
      <c r="S9" s="824"/>
      <c r="T9" s="824"/>
      <c r="U9" s="824"/>
      <c r="V9" s="824"/>
      <c r="W9" s="824"/>
      <c r="X9" s="824"/>
      <c r="Y9" s="824"/>
      <c r="BT9" s="229"/>
      <c r="BU9" s="229"/>
      <c r="BV9" s="229"/>
      <c r="BW9" s="229"/>
      <c r="BX9" s="229"/>
      <c r="BY9" s="229">
        <f t="shared" si="0"/>
        <v>0</v>
      </c>
      <c r="BZ9" s="229" t="str">
        <f t="shared" si="0"/>
        <v>Other</v>
      </c>
      <c r="CA9" s="229"/>
      <c r="CB9" s="229"/>
      <c r="CC9" s="229"/>
      <c r="CD9" s="229"/>
      <c r="CE9" s="229"/>
      <c r="CF9" s="229"/>
    </row>
    <row r="10" spans="1:108" ht="18.75" customHeight="1" x14ac:dyDescent="0.25">
      <c r="A10" s="110"/>
      <c r="B10" s="110"/>
      <c r="C10" s="110"/>
      <c r="D10" s="110"/>
      <c r="E10" s="110"/>
      <c r="F10" s="823"/>
      <c r="G10" s="1997" t="s">
        <v>385</v>
      </c>
      <c r="H10" s="1998"/>
      <c r="I10" s="1998"/>
      <c r="J10" s="1999"/>
      <c r="K10" s="110"/>
      <c r="L10" s="823"/>
      <c r="M10" s="1997" t="s">
        <v>1346</v>
      </c>
      <c r="N10" s="1998"/>
      <c r="O10" s="1998"/>
      <c r="P10" s="1999"/>
      <c r="Q10" s="824"/>
      <c r="R10" s="823"/>
      <c r="S10" s="1997" t="s">
        <v>1355</v>
      </c>
      <c r="T10" s="1998"/>
      <c r="U10" s="1998"/>
      <c r="V10" s="1999"/>
      <c r="BT10" s="229"/>
      <c r="BU10" s="229"/>
      <c r="BV10" s="229"/>
      <c r="BW10" s="229"/>
      <c r="BX10" s="229"/>
      <c r="BY10" s="229"/>
      <c r="BZ10" s="229"/>
      <c r="CA10" s="229"/>
      <c r="CB10" s="229"/>
      <c r="CC10" s="229"/>
      <c r="CD10" s="229"/>
      <c r="CE10" s="229"/>
      <c r="CF10" s="229"/>
    </row>
    <row r="11" spans="1:108" ht="18.75" customHeight="1" x14ac:dyDescent="0.25">
      <c r="A11" s="110"/>
      <c r="B11" s="110"/>
      <c r="C11" s="110"/>
      <c r="D11" s="110"/>
      <c r="E11" s="110"/>
      <c r="F11" s="823"/>
      <c r="G11" s="1997" t="s">
        <v>204</v>
      </c>
      <c r="H11" s="1998"/>
      <c r="I11" s="1998"/>
      <c r="J11" s="1999"/>
      <c r="K11" s="110"/>
      <c r="L11" s="823"/>
      <c r="M11" s="1997" t="s">
        <v>1347</v>
      </c>
      <c r="N11" s="1998"/>
      <c r="O11" s="1998"/>
      <c r="P11" s="1999"/>
      <c r="Q11" s="824"/>
      <c r="R11" s="823"/>
      <c r="S11" s="1997" t="s">
        <v>1356</v>
      </c>
      <c r="T11" s="1998"/>
      <c r="U11" s="1998"/>
      <c r="V11" s="1999"/>
      <c r="BT11" s="229"/>
      <c r="BU11" s="229"/>
      <c r="BV11" s="229"/>
      <c r="BW11" s="229"/>
      <c r="BX11" s="229"/>
      <c r="CA11" s="229"/>
      <c r="CB11" s="229" t="b">
        <v>1</v>
      </c>
      <c r="CC11" s="229" t="str">
        <f>+M14</f>
        <v>New Feature</v>
      </c>
      <c r="CD11" s="229"/>
      <c r="CE11" s="229"/>
      <c r="CF11" s="229"/>
    </row>
    <row r="12" spans="1:108" ht="18.75" customHeight="1" x14ac:dyDescent="0.25">
      <c r="A12" s="110"/>
      <c r="B12" s="110"/>
      <c r="C12" s="110"/>
      <c r="D12" s="110"/>
      <c r="E12" s="110"/>
      <c r="F12" s="823"/>
      <c r="G12" s="1997" t="s">
        <v>386</v>
      </c>
      <c r="H12" s="1998"/>
      <c r="I12" s="1998"/>
      <c r="J12" s="1999"/>
      <c r="K12" s="110"/>
      <c r="L12" s="823"/>
      <c r="M12" s="1997" t="s">
        <v>1348</v>
      </c>
      <c r="N12" s="1998"/>
      <c r="O12" s="1998"/>
      <c r="P12" s="1999"/>
      <c r="Q12" s="824"/>
      <c r="R12" s="823"/>
      <c r="S12" s="1997" t="s">
        <v>1349</v>
      </c>
      <c r="T12" s="1998"/>
      <c r="U12" s="1998"/>
      <c r="V12" s="1999"/>
      <c r="BT12" s="229"/>
      <c r="BU12" s="229"/>
      <c r="BV12" s="229"/>
      <c r="BW12" s="229"/>
      <c r="BX12" s="229"/>
      <c r="BY12" s="229"/>
      <c r="BZ12" s="229"/>
      <c r="CA12" s="229"/>
      <c r="CB12" s="229" t="b">
        <v>1</v>
      </c>
      <c r="CC12" s="229" t="e">
        <f>+#REF!</f>
        <v>#REF!</v>
      </c>
      <c r="CD12" s="229"/>
      <c r="CE12" s="229"/>
      <c r="CF12" s="229"/>
    </row>
    <row r="13" spans="1:108" ht="18.75" customHeight="1" x14ac:dyDescent="0.25">
      <c r="A13" s="110"/>
      <c r="B13" s="110"/>
      <c r="C13" s="110"/>
      <c r="D13" s="110"/>
      <c r="E13" s="110"/>
      <c r="F13" s="823"/>
      <c r="G13" s="1997" t="s">
        <v>387</v>
      </c>
      <c r="H13" s="1998"/>
      <c r="I13" s="1998"/>
      <c r="J13" s="1999"/>
      <c r="K13" s="110"/>
      <c r="L13" s="823"/>
      <c r="M13" s="1997" t="s">
        <v>1351</v>
      </c>
      <c r="N13" s="1998"/>
      <c r="O13" s="1998"/>
      <c r="P13" s="1999"/>
      <c r="Q13" s="824"/>
      <c r="R13" s="823"/>
      <c r="S13" s="1997" t="s">
        <v>1350</v>
      </c>
      <c r="T13" s="1998"/>
      <c r="U13" s="1998"/>
      <c r="V13" s="1999"/>
      <c r="BT13" s="229"/>
      <c r="BU13" s="229"/>
      <c r="BV13" s="229"/>
      <c r="BW13" s="229"/>
      <c r="BX13" s="229"/>
      <c r="BY13" s="229"/>
      <c r="BZ13" s="229"/>
      <c r="CA13" s="229"/>
      <c r="CB13" s="229" t="b">
        <v>0</v>
      </c>
      <c r="CC13" s="229">
        <f>+R14</f>
        <v>0</v>
      </c>
      <c r="CD13" s="229"/>
      <c r="CE13" s="229"/>
      <c r="CF13" s="229"/>
    </row>
    <row r="14" spans="1:108" ht="18.75" customHeight="1" x14ac:dyDescent="0.25">
      <c r="A14" s="110"/>
      <c r="B14" s="110"/>
      <c r="C14" s="110"/>
      <c r="D14" s="110"/>
      <c r="E14" s="110"/>
      <c r="F14" s="823"/>
      <c r="G14" s="1997" t="s">
        <v>19</v>
      </c>
      <c r="H14" s="1998"/>
      <c r="I14" s="1998"/>
      <c r="J14" s="1999"/>
      <c r="K14" s="110"/>
      <c r="L14" s="823"/>
      <c r="M14" s="1997" t="s">
        <v>1352</v>
      </c>
      <c r="N14" s="1998"/>
      <c r="O14" s="1998"/>
      <c r="P14" s="1999"/>
      <c r="Q14" s="824"/>
      <c r="R14" s="823"/>
      <c r="S14" s="1997" t="s">
        <v>19</v>
      </c>
      <c r="T14" s="1998"/>
      <c r="U14" s="1998"/>
      <c r="V14" s="1999"/>
      <c r="BT14" s="229"/>
      <c r="BU14" s="229"/>
      <c r="BV14" s="229"/>
      <c r="BW14" s="229"/>
      <c r="BX14" s="229"/>
      <c r="BY14" s="229"/>
      <c r="BZ14" s="229"/>
      <c r="CA14" s="229"/>
      <c r="CB14" s="229" t="b">
        <v>0</v>
      </c>
      <c r="CC14" s="229" t="str">
        <f>+M10</f>
        <v>Reduce Rate</v>
      </c>
      <c r="CD14" s="229"/>
      <c r="CE14" s="229"/>
      <c r="CF14" s="229"/>
    </row>
    <row r="15" spans="1:108" ht="10.15" customHeight="1" x14ac:dyDescent="0.25">
      <c r="A15" s="110"/>
      <c r="B15" s="110"/>
      <c r="C15" s="110"/>
      <c r="D15" s="110"/>
      <c r="E15" s="110"/>
      <c r="F15" s="230"/>
      <c r="G15" s="110"/>
      <c r="H15" s="110"/>
      <c r="I15" s="110"/>
      <c r="J15" s="110"/>
      <c r="K15" s="110"/>
      <c r="L15" s="110"/>
      <c r="M15" s="110"/>
      <c r="N15" s="110"/>
      <c r="O15" s="110"/>
      <c r="P15" s="110"/>
      <c r="Q15" s="110"/>
      <c r="R15" s="110"/>
      <c r="S15" s="110"/>
      <c r="T15" s="110"/>
      <c r="U15" s="110"/>
      <c r="V15" s="110"/>
      <c r="W15" s="110"/>
      <c r="X15" s="110"/>
      <c r="Y15" s="110"/>
      <c r="Z15" s="110"/>
      <c r="BT15" s="229"/>
      <c r="BU15" s="229"/>
      <c r="BV15" s="229"/>
      <c r="BW15" s="229"/>
      <c r="BX15" s="229"/>
      <c r="BY15" s="229"/>
      <c r="BZ15" s="229"/>
      <c r="CA15" s="229"/>
      <c r="CB15" s="229"/>
      <c r="CC15" s="229"/>
      <c r="CD15" s="229"/>
      <c r="CE15" s="229"/>
      <c r="CF15" s="229"/>
    </row>
    <row r="16" spans="1:108" ht="18.75" customHeight="1" x14ac:dyDescent="0.4">
      <c r="A16" s="1718" t="s">
        <v>709</v>
      </c>
      <c r="B16" s="1718"/>
      <c r="C16" s="1718"/>
      <c r="D16" s="1718"/>
      <c r="E16" s="1718"/>
      <c r="F16" s="2029" t="s">
        <v>710</v>
      </c>
      <c r="G16" s="2029"/>
      <c r="H16" s="2029"/>
      <c r="I16" s="2029"/>
      <c r="J16" s="2029"/>
      <c r="K16" s="2029"/>
      <c r="L16" s="743"/>
      <c r="M16" s="2029" t="s">
        <v>711</v>
      </c>
      <c r="N16" s="2029"/>
      <c r="O16" s="2029"/>
      <c r="P16" s="2029"/>
      <c r="Q16" s="2029"/>
      <c r="R16" s="2029"/>
      <c r="S16" s="743"/>
      <c r="T16" s="2029" t="s">
        <v>712</v>
      </c>
      <c r="U16" s="2029"/>
      <c r="V16" s="2029"/>
      <c r="W16" s="2029"/>
      <c r="X16" s="2029"/>
      <c r="Y16" s="2029"/>
      <c r="Z16" s="653"/>
      <c r="BT16" s="229"/>
      <c r="BU16" s="229"/>
      <c r="BV16" s="229"/>
      <c r="BW16" s="229"/>
      <c r="BX16" s="229"/>
      <c r="BY16" s="229"/>
      <c r="BZ16" s="229"/>
      <c r="CA16" s="229"/>
      <c r="CB16" s="229"/>
      <c r="CC16" s="229"/>
      <c r="CD16" s="229"/>
      <c r="CE16" s="229"/>
      <c r="CF16" s="229"/>
    </row>
    <row r="17" spans="1:84" ht="18.75" customHeight="1" x14ac:dyDescent="0.25">
      <c r="A17" s="110"/>
      <c r="B17" s="110"/>
      <c r="C17" s="110"/>
      <c r="D17" s="110"/>
      <c r="E17" s="110"/>
      <c r="F17" s="2013"/>
      <c r="G17" s="2014"/>
      <c r="H17" s="2014"/>
      <c r="I17" s="2014"/>
      <c r="J17" s="2014"/>
      <c r="K17" s="2015"/>
      <c r="L17" s="110"/>
      <c r="M17" s="2013"/>
      <c r="N17" s="2014"/>
      <c r="O17" s="2014"/>
      <c r="P17" s="2014"/>
      <c r="Q17" s="2014"/>
      <c r="R17" s="2015"/>
      <c r="S17" s="110"/>
      <c r="T17" s="2013"/>
      <c r="U17" s="2014"/>
      <c r="V17" s="2014"/>
      <c r="W17" s="2014"/>
      <c r="X17" s="2014"/>
      <c r="Y17" s="2015"/>
      <c r="Z17" s="110"/>
      <c r="BT17" s="229"/>
      <c r="BU17" s="229"/>
      <c r="BV17" s="229"/>
      <c r="BW17" s="229"/>
      <c r="BX17" s="229"/>
      <c r="BY17" s="229"/>
      <c r="BZ17" s="229"/>
      <c r="CA17" s="229"/>
      <c r="CB17" s="229"/>
      <c r="CC17" s="229"/>
      <c r="CD17" s="229"/>
      <c r="CE17" s="229"/>
      <c r="CF17" s="229"/>
    </row>
    <row r="18" spans="1:84" ht="18.75" customHeight="1" x14ac:dyDescent="0.25">
      <c r="A18" s="110"/>
      <c r="B18" s="110"/>
      <c r="C18" s="110"/>
      <c r="D18" s="110"/>
      <c r="E18" s="110"/>
      <c r="F18" s="2013"/>
      <c r="G18" s="2014"/>
      <c r="H18" s="2014"/>
      <c r="I18" s="2014"/>
      <c r="J18" s="2014"/>
      <c r="K18" s="2015"/>
      <c r="L18" s="110"/>
      <c r="M18" s="2013"/>
      <c r="N18" s="2014"/>
      <c r="O18" s="2014"/>
      <c r="P18" s="2014"/>
      <c r="Q18" s="2014"/>
      <c r="R18" s="2015"/>
      <c r="S18" s="110"/>
      <c r="T18" s="2013"/>
      <c r="U18" s="2014"/>
      <c r="V18" s="2014"/>
      <c r="W18" s="2014"/>
      <c r="X18" s="2014"/>
      <c r="Y18" s="2015"/>
      <c r="Z18" s="110"/>
      <c r="BT18" s="229"/>
      <c r="BU18" s="229"/>
      <c r="BV18" s="229"/>
      <c r="BW18" s="229"/>
      <c r="BX18" s="229"/>
      <c r="BY18" s="229"/>
      <c r="BZ18" s="229"/>
      <c r="CA18" s="229"/>
      <c r="CB18" s="229"/>
      <c r="CC18" s="229"/>
      <c r="CD18" s="229"/>
      <c r="CE18" s="229"/>
      <c r="CF18" s="229"/>
    </row>
    <row r="19" spans="1:84" ht="18.75" customHeight="1" x14ac:dyDescent="0.25">
      <c r="A19" s="110"/>
      <c r="B19" s="110"/>
      <c r="C19" s="110"/>
      <c r="D19" s="110"/>
      <c r="E19" s="110"/>
      <c r="F19" s="2013"/>
      <c r="G19" s="2014"/>
      <c r="H19" s="2014"/>
      <c r="I19" s="2014"/>
      <c r="J19" s="2014"/>
      <c r="K19" s="2015"/>
      <c r="L19" s="110"/>
      <c r="M19" s="2013"/>
      <c r="N19" s="2014"/>
      <c r="O19" s="2014"/>
      <c r="P19" s="2014"/>
      <c r="Q19" s="2014"/>
      <c r="R19" s="2015"/>
      <c r="S19" s="110"/>
      <c r="T19" s="2013"/>
      <c r="U19" s="2014"/>
      <c r="V19" s="2014"/>
      <c r="W19" s="2014"/>
      <c r="X19" s="2014"/>
      <c r="Y19" s="2015"/>
      <c r="BT19" s="229"/>
      <c r="BU19" s="229"/>
      <c r="BV19" s="229"/>
      <c r="BW19" s="229"/>
      <c r="BX19" s="229"/>
      <c r="BY19" s="229"/>
      <c r="BZ19" s="229"/>
      <c r="CA19" s="229"/>
      <c r="CB19" s="229"/>
      <c r="CC19" s="229"/>
      <c r="CD19" s="229"/>
      <c r="CE19" s="229"/>
      <c r="CF19" s="229"/>
    </row>
    <row r="20" spans="1:84" ht="18.75" customHeight="1" x14ac:dyDescent="0.2">
      <c r="A20" s="653" t="s">
        <v>392</v>
      </c>
      <c r="B20" s="653"/>
      <c r="C20" s="653"/>
      <c r="D20" s="653"/>
      <c r="E20" s="653"/>
      <c r="F20" s="2016" t="s">
        <v>783</v>
      </c>
      <c r="G20" s="2016"/>
      <c r="H20" s="2016"/>
      <c r="I20" s="2016"/>
      <c r="J20" s="2016" t="s">
        <v>785</v>
      </c>
      <c r="K20" s="2016"/>
      <c r="L20" s="2017"/>
      <c r="M20" s="2017"/>
      <c r="N20" s="2017" t="s">
        <v>784</v>
      </c>
      <c r="O20" s="2017"/>
      <c r="P20" s="653"/>
      <c r="Q20" s="653"/>
      <c r="R20" s="653"/>
      <c r="S20" s="653"/>
      <c r="T20" s="653"/>
      <c r="U20" s="653"/>
      <c r="V20" s="653"/>
      <c r="W20" s="653"/>
      <c r="X20" s="653"/>
      <c r="Y20" s="653"/>
      <c r="Z20" s="653"/>
      <c r="BT20" s="229"/>
      <c r="BU20" s="229"/>
      <c r="BV20" s="229"/>
      <c r="BW20" s="229"/>
      <c r="BX20" s="229"/>
      <c r="BY20" s="229"/>
      <c r="BZ20" s="229"/>
      <c r="CA20" s="229"/>
      <c r="CB20" s="229"/>
      <c r="CC20" s="229"/>
      <c r="CD20" s="229"/>
      <c r="CE20" s="229"/>
      <c r="CF20" s="229"/>
    </row>
    <row r="21" spans="1:84" ht="18.600000000000001" customHeight="1" x14ac:dyDescent="0.25">
      <c r="A21" s="2006" t="s">
        <v>393</v>
      </c>
      <c r="B21" s="2006"/>
      <c r="C21" s="2006"/>
      <c r="D21" s="2006"/>
      <c r="E21" s="2007"/>
      <c r="F21" s="228"/>
      <c r="G21" s="228"/>
      <c r="H21" s="228"/>
      <c r="I21" s="228"/>
      <c r="J21" s="228"/>
      <c r="K21" s="228"/>
      <c r="L21" s="228"/>
      <c r="M21" s="228"/>
      <c r="N21" s="228"/>
      <c r="O21" s="228"/>
      <c r="P21" s="2027"/>
      <c r="Q21" s="2011"/>
      <c r="R21" s="2011"/>
      <c r="S21" s="2011"/>
      <c r="T21" s="2011"/>
      <c r="U21" s="2011"/>
      <c r="V21" s="2011"/>
      <c r="W21" s="2011"/>
      <c r="X21" s="2012"/>
      <c r="Y21" s="317"/>
    </row>
    <row r="22" spans="1:84" ht="18" customHeight="1" x14ac:dyDescent="0.25">
      <c r="A22" s="2006" t="s">
        <v>394</v>
      </c>
      <c r="B22" s="2006"/>
      <c r="C22" s="2006"/>
      <c r="D22" s="2006"/>
      <c r="E22" s="2007"/>
      <c r="F22" s="228"/>
      <c r="G22" s="228"/>
      <c r="H22" s="228"/>
      <c r="I22" s="228"/>
      <c r="J22" s="228"/>
      <c r="K22" s="228"/>
      <c r="L22" s="228"/>
      <c r="M22" s="228"/>
      <c r="N22" s="228"/>
      <c r="O22" s="1321"/>
      <c r="P22" s="2018" t="s">
        <v>1354</v>
      </c>
      <c r="Q22" s="2019"/>
      <c r="R22" s="2019"/>
      <c r="S22" s="2019"/>
      <c r="T22" s="2019"/>
      <c r="U22" s="2019"/>
      <c r="V22" s="2019"/>
      <c r="W22" s="2019"/>
      <c r="X22" s="2020"/>
      <c r="Y22" s="317" t="s">
        <v>988</v>
      </c>
    </row>
    <row r="23" spans="1:84" ht="18" customHeight="1" x14ac:dyDescent="0.25">
      <c r="A23" s="1322"/>
      <c r="B23" s="1322"/>
      <c r="C23" s="1322"/>
      <c r="D23" s="1322"/>
      <c r="E23" s="1322"/>
      <c r="F23" s="1322"/>
      <c r="G23" s="1322"/>
      <c r="H23" s="1322"/>
      <c r="I23" s="1322"/>
      <c r="J23" s="1322"/>
      <c r="K23" s="1322"/>
      <c r="L23" s="1322"/>
      <c r="M23" s="1322"/>
      <c r="N23" s="1322"/>
      <c r="O23" s="1322"/>
      <c r="P23" s="1330"/>
      <c r="Q23" s="1331"/>
      <c r="R23" s="1331"/>
      <c r="S23" s="1331"/>
      <c r="T23" s="1331"/>
      <c r="U23" s="1331"/>
      <c r="V23" s="1331"/>
      <c r="W23" s="1331"/>
      <c r="X23" s="1332"/>
      <c r="Y23" s="317"/>
    </row>
    <row r="24" spans="1:84" ht="18" customHeight="1" x14ac:dyDescent="0.25">
      <c r="A24" s="2006" t="s">
        <v>395</v>
      </c>
      <c r="B24" s="2006"/>
      <c r="C24" s="2006"/>
      <c r="D24" s="2006"/>
      <c r="E24" s="2007"/>
      <c r="F24" s="228"/>
      <c r="G24" s="228"/>
      <c r="H24" s="228"/>
      <c r="I24" s="228"/>
      <c r="J24" s="228"/>
      <c r="K24" s="228"/>
      <c r="L24" s="228"/>
      <c r="M24" s="228"/>
      <c r="N24" s="228"/>
      <c r="O24" s="228"/>
      <c r="P24" s="2018"/>
      <c r="Q24" s="2019"/>
      <c r="R24" s="2019"/>
      <c r="S24" s="2019"/>
      <c r="T24" s="2019"/>
      <c r="U24" s="2019"/>
      <c r="V24" s="2019"/>
      <c r="W24" s="2019"/>
      <c r="X24" s="2020"/>
      <c r="Y24" s="317"/>
      <c r="BT24" s="222" t="s">
        <v>1353</v>
      </c>
      <c r="BU24" s="222" t="s">
        <v>549</v>
      </c>
    </row>
    <row r="25" spans="1:84" ht="18" customHeight="1" x14ac:dyDescent="0.25">
      <c r="N25" s="21"/>
      <c r="P25" s="2024" t="s">
        <v>1345</v>
      </c>
      <c r="Q25" s="2025"/>
      <c r="R25" s="2025"/>
      <c r="S25" s="2025"/>
      <c r="T25" s="2025"/>
      <c r="U25" s="2025"/>
      <c r="V25" s="2025"/>
      <c r="W25" s="2025"/>
      <c r="X25" s="2026"/>
      <c r="Y25" s="317"/>
      <c r="BT25" s="94" t="s">
        <v>1339</v>
      </c>
      <c r="BU25" s="94" t="s">
        <v>550</v>
      </c>
    </row>
    <row r="26" spans="1:84" ht="18" customHeight="1" x14ac:dyDescent="0.25">
      <c r="A26" s="2006" t="s">
        <v>396</v>
      </c>
      <c r="B26" s="2006"/>
      <c r="C26" s="2006"/>
      <c r="D26" s="2006"/>
      <c r="E26" s="2007"/>
      <c r="F26" s="228"/>
      <c r="G26" s="228"/>
      <c r="H26" s="228"/>
      <c r="I26" s="228"/>
      <c r="J26" s="228"/>
      <c r="K26" s="228"/>
      <c r="L26" s="228"/>
      <c r="M26" s="228"/>
      <c r="N26" s="228"/>
      <c r="O26" s="228"/>
      <c r="P26" s="2018" t="s">
        <v>1353</v>
      </c>
      <c r="Q26" s="2019"/>
      <c r="R26" s="2019"/>
      <c r="S26" s="2019"/>
      <c r="T26" s="2019"/>
      <c r="U26" s="2019"/>
      <c r="V26" s="2019"/>
      <c r="W26" s="2019"/>
      <c r="X26" s="2020"/>
      <c r="Y26" s="317"/>
      <c r="BT26" s="94" t="s">
        <v>1341</v>
      </c>
      <c r="BU26" s="94" t="s">
        <v>551</v>
      </c>
    </row>
    <row r="27" spans="1:84" ht="18" customHeight="1" x14ac:dyDescent="0.25">
      <c r="A27" s="1322"/>
      <c r="B27" s="1322"/>
      <c r="C27" s="1322"/>
      <c r="D27" s="1322"/>
      <c r="E27" s="1322"/>
      <c r="F27" s="1322"/>
      <c r="G27" s="1322"/>
      <c r="H27" s="1322"/>
      <c r="I27" s="1322"/>
      <c r="J27" s="1322"/>
      <c r="K27" s="1322"/>
      <c r="L27" s="1322"/>
      <c r="M27" s="1322"/>
      <c r="N27" s="1322"/>
      <c r="O27" s="1322"/>
      <c r="P27" s="2021"/>
      <c r="Q27" s="2022"/>
      <c r="R27" s="2022"/>
      <c r="S27" s="2022"/>
      <c r="T27" s="2022"/>
      <c r="U27" s="2022"/>
      <c r="V27" s="2022"/>
      <c r="W27" s="2022"/>
      <c r="X27" s="2023"/>
      <c r="Y27" s="317"/>
      <c r="BT27" s="94" t="s">
        <v>1340</v>
      </c>
      <c r="BU27" s="94" t="s">
        <v>988</v>
      </c>
    </row>
    <row r="28" spans="1:84" ht="18" customHeight="1" x14ac:dyDescent="0.25">
      <c r="A28" s="2006" t="s">
        <v>397</v>
      </c>
      <c r="B28" s="2006"/>
      <c r="C28" s="2006"/>
      <c r="D28" s="2006"/>
      <c r="E28" s="2007"/>
      <c r="F28" s="228"/>
      <c r="G28" s="228"/>
      <c r="H28" s="228"/>
      <c r="I28" s="228"/>
      <c r="J28" s="228"/>
      <c r="K28" s="228"/>
      <c r="L28" s="228"/>
      <c r="M28" s="228"/>
      <c r="N28" s="228"/>
      <c r="O28" s="228"/>
      <c r="P28" s="847"/>
      <c r="Q28" s="2011"/>
      <c r="R28" s="2011"/>
      <c r="S28" s="2011"/>
      <c r="T28" s="2011"/>
      <c r="U28" s="2011"/>
      <c r="V28" s="2011"/>
      <c r="W28" s="2011"/>
      <c r="X28" s="2012"/>
      <c r="Y28" s="317"/>
      <c r="BT28" s="94" t="s">
        <v>1344</v>
      </c>
    </row>
    <row r="29" spans="1:84" ht="18.600000000000001" customHeight="1" x14ac:dyDescent="0.25">
      <c r="A29" s="2006" t="s">
        <v>403</v>
      </c>
      <c r="B29" s="2006"/>
      <c r="C29" s="2006"/>
      <c r="D29" s="2006"/>
      <c r="E29" s="2007"/>
      <c r="F29" s="228"/>
      <c r="G29" s="228"/>
      <c r="H29" s="228"/>
      <c r="I29" s="228"/>
      <c r="J29" s="228"/>
      <c r="K29" s="228"/>
      <c r="L29" s="228"/>
      <c r="M29" s="228"/>
      <c r="N29" s="228"/>
      <c r="O29" s="228"/>
      <c r="P29" s="847"/>
      <c r="Q29" s="2011"/>
      <c r="R29" s="2011"/>
      <c r="S29" s="2011"/>
      <c r="T29" s="2011"/>
      <c r="U29" s="2011"/>
      <c r="V29" s="2011"/>
      <c r="W29" s="2011"/>
      <c r="X29" s="2012"/>
      <c r="Y29" s="317"/>
      <c r="BT29" s="94" t="s">
        <v>1342</v>
      </c>
    </row>
    <row r="30" spans="1:84" ht="18.600000000000001" customHeight="1" x14ac:dyDescent="0.25">
      <c r="A30" s="2006" t="s">
        <v>401</v>
      </c>
      <c r="B30" s="2006"/>
      <c r="C30" s="2006"/>
      <c r="D30" s="2006"/>
      <c r="E30" s="2007"/>
      <c r="F30" s="228"/>
      <c r="G30" s="228"/>
      <c r="H30" s="228"/>
      <c r="I30" s="228"/>
      <c r="J30" s="228"/>
      <c r="K30" s="228"/>
      <c r="L30" s="228"/>
      <c r="M30" s="228"/>
      <c r="N30" s="228"/>
      <c r="O30" s="228"/>
      <c r="P30" s="847"/>
      <c r="Q30" s="2011"/>
      <c r="R30" s="2011"/>
      <c r="S30" s="2011"/>
      <c r="T30" s="2011"/>
      <c r="U30" s="2011"/>
      <c r="V30" s="2011"/>
      <c r="W30" s="2011"/>
      <c r="X30" s="2012"/>
      <c r="Y30" s="317"/>
      <c r="BT30" s="94" t="s">
        <v>1343</v>
      </c>
    </row>
    <row r="31" spans="1:84" ht="18.600000000000001" customHeight="1" x14ac:dyDescent="0.25">
      <c r="A31" s="2006" t="s">
        <v>402</v>
      </c>
      <c r="B31" s="2006"/>
      <c r="C31" s="2006"/>
      <c r="D31" s="2006"/>
      <c r="E31" s="2007"/>
      <c r="F31" s="228"/>
      <c r="G31" s="228"/>
      <c r="H31" s="228"/>
      <c r="I31" s="228"/>
      <c r="J31" s="228"/>
      <c r="K31" s="228"/>
      <c r="L31" s="228"/>
      <c r="M31" s="228"/>
      <c r="N31" s="228"/>
      <c r="O31" s="228"/>
      <c r="P31" s="847"/>
      <c r="Y31" s="317"/>
      <c r="BT31" s="94" t="s">
        <v>1338</v>
      </c>
    </row>
    <row r="32" spans="1:84" ht="18.600000000000001" customHeight="1" x14ac:dyDescent="0.25">
      <c r="A32" s="2006" t="s">
        <v>404</v>
      </c>
      <c r="B32" s="2006"/>
      <c r="C32" s="2006"/>
      <c r="D32" s="2006"/>
      <c r="E32" s="2007"/>
      <c r="F32" s="228"/>
      <c r="G32" s="228"/>
      <c r="H32" s="228"/>
      <c r="I32" s="228"/>
      <c r="J32" s="228"/>
      <c r="K32" s="228"/>
      <c r="L32" s="228"/>
      <c r="M32" s="228"/>
      <c r="N32" s="228"/>
      <c r="O32" s="228"/>
      <c r="P32" s="847"/>
      <c r="Q32" s="2011"/>
      <c r="R32" s="2011"/>
      <c r="S32" s="2011"/>
      <c r="T32" s="2011"/>
      <c r="U32" s="2011"/>
      <c r="V32" s="2011"/>
      <c r="W32" s="2011"/>
      <c r="X32" s="2012"/>
      <c r="Y32" s="317"/>
    </row>
    <row r="33" spans="1:25" ht="18.600000000000001" customHeight="1" x14ac:dyDescent="0.25">
      <c r="A33" s="2006" t="s">
        <v>398</v>
      </c>
      <c r="B33" s="2006"/>
      <c r="C33" s="2006"/>
      <c r="D33" s="2006"/>
      <c r="E33" s="2007"/>
      <c r="F33" s="228"/>
      <c r="G33" s="228"/>
      <c r="H33" s="228"/>
      <c r="I33" s="228"/>
      <c r="J33" s="228"/>
      <c r="K33" s="228"/>
      <c r="L33" s="228"/>
      <c r="M33" s="228"/>
      <c r="N33" s="228"/>
      <c r="O33" s="228">
        <v>1</v>
      </c>
      <c r="P33" s="847"/>
      <c r="Q33" s="2011"/>
      <c r="R33" s="2011"/>
      <c r="S33" s="2011"/>
      <c r="T33" s="2011"/>
      <c r="U33" s="2011"/>
      <c r="V33" s="2011"/>
      <c r="W33" s="2011"/>
      <c r="X33" s="2012"/>
      <c r="Y33" s="317"/>
    </row>
    <row r="34" spans="1:25" ht="18.600000000000001" customHeight="1" x14ac:dyDescent="0.25">
      <c r="A34" s="2006" t="s">
        <v>399</v>
      </c>
      <c r="B34" s="2006"/>
      <c r="C34" s="2006"/>
      <c r="D34" s="2006"/>
      <c r="E34" s="2007"/>
      <c r="F34" s="228"/>
      <c r="G34" s="228"/>
      <c r="H34" s="228"/>
      <c r="I34" s="228"/>
      <c r="J34" s="228"/>
      <c r="K34" s="228"/>
      <c r="L34" s="228"/>
      <c r="M34" s="228"/>
      <c r="N34" s="228"/>
      <c r="O34" s="228">
        <v>1</v>
      </c>
      <c r="P34" s="847"/>
      <c r="Q34" s="2011"/>
      <c r="R34" s="2011"/>
      <c r="S34" s="2011"/>
      <c r="T34" s="2011"/>
      <c r="U34" s="2011"/>
      <c r="V34" s="2011"/>
      <c r="W34" s="2011"/>
      <c r="X34" s="2012"/>
      <c r="Y34" s="317"/>
    </row>
    <row r="35" spans="1:25" ht="18.600000000000001" customHeight="1" x14ac:dyDescent="0.25">
      <c r="A35" s="2006" t="s">
        <v>400</v>
      </c>
      <c r="B35" s="2006"/>
      <c r="C35" s="2006"/>
      <c r="D35" s="2006"/>
      <c r="E35" s="2007"/>
      <c r="F35" s="228"/>
      <c r="G35" s="228"/>
      <c r="H35" s="228"/>
      <c r="I35" s="228"/>
      <c r="J35" s="228"/>
      <c r="K35" s="228"/>
      <c r="L35" s="228"/>
      <c r="M35" s="228"/>
      <c r="N35" s="228"/>
      <c r="O35" s="228"/>
      <c r="P35" s="847"/>
      <c r="Q35" s="2011"/>
      <c r="R35" s="2011"/>
      <c r="S35" s="2011"/>
      <c r="T35" s="2011"/>
      <c r="U35" s="2011"/>
      <c r="V35" s="2011"/>
      <c r="W35" s="2011"/>
      <c r="X35" s="2012"/>
      <c r="Y35" s="317"/>
    </row>
    <row r="36" spans="1:25" ht="18.600000000000001" customHeight="1" x14ac:dyDescent="0.25">
      <c r="A36" s="2006" t="s">
        <v>786</v>
      </c>
      <c r="B36" s="2006"/>
      <c r="C36" s="2006"/>
      <c r="D36" s="2006"/>
      <c r="E36" s="2007"/>
      <c r="F36" s="228"/>
      <c r="G36" s="228"/>
      <c r="H36" s="228"/>
      <c r="I36" s="228"/>
      <c r="J36" s="228"/>
      <c r="K36" s="228"/>
      <c r="L36" s="228"/>
      <c r="M36" s="228"/>
      <c r="N36" s="228"/>
      <c r="O36" s="228"/>
      <c r="P36" s="847"/>
      <c r="Q36" s="2011"/>
      <c r="R36" s="2011"/>
      <c r="S36" s="2011"/>
      <c r="T36" s="2011"/>
      <c r="U36" s="2011"/>
      <c r="V36" s="2011"/>
      <c r="W36" s="2011"/>
      <c r="X36" s="2012"/>
      <c r="Y36" s="317"/>
    </row>
    <row r="37" spans="1:25" ht="18.600000000000001" customHeight="1" x14ac:dyDescent="0.25">
      <c r="A37" s="2006" t="s">
        <v>405</v>
      </c>
      <c r="B37" s="2006"/>
      <c r="C37" s="2006"/>
      <c r="D37" s="2006"/>
      <c r="E37" s="2007"/>
      <c r="F37" s="228"/>
      <c r="G37" s="228"/>
      <c r="H37" s="228"/>
      <c r="I37" s="228"/>
      <c r="J37" s="228"/>
      <c r="K37" s="228"/>
      <c r="L37" s="228"/>
      <c r="M37" s="228"/>
      <c r="N37" s="228"/>
      <c r="O37" s="228"/>
      <c r="P37" s="847"/>
      <c r="Q37" s="2011"/>
      <c r="R37" s="2011"/>
      <c r="S37" s="2011"/>
      <c r="T37" s="2011"/>
      <c r="U37" s="2011"/>
      <c r="V37" s="2011"/>
      <c r="W37" s="2011"/>
      <c r="X37" s="2012"/>
      <c r="Y37" s="317"/>
    </row>
    <row r="38" spans="1:25" ht="18.600000000000001" customHeight="1" x14ac:dyDescent="0.25">
      <c r="A38" s="2006" t="s">
        <v>19</v>
      </c>
      <c r="B38" s="2006"/>
      <c r="C38" s="2006"/>
      <c r="D38" s="2006"/>
      <c r="E38" s="2007"/>
      <c r="F38" s="228"/>
      <c r="G38" s="228"/>
      <c r="H38" s="228"/>
      <c r="I38" s="228"/>
      <c r="J38" s="228"/>
      <c r="K38" s="228"/>
      <c r="L38" s="228"/>
      <c r="M38" s="228"/>
      <c r="N38" s="228"/>
      <c r="O38" s="228"/>
      <c r="P38" s="847"/>
      <c r="Q38" s="2011"/>
      <c r="R38" s="2011"/>
      <c r="S38" s="2011"/>
      <c r="T38" s="2011"/>
      <c r="U38" s="2011"/>
      <c r="V38" s="2011"/>
      <c r="W38" s="2011"/>
      <c r="X38" s="2012"/>
      <c r="Y38" s="317"/>
    </row>
    <row r="39" spans="1:25" ht="48.75" customHeight="1" x14ac:dyDescent="0.25">
      <c r="A39" s="2004" t="s">
        <v>20</v>
      </c>
      <c r="B39" s="2004"/>
      <c r="C39" s="2004"/>
      <c r="D39" s="2004"/>
      <c r="E39" s="2005"/>
      <c r="F39" s="2008"/>
      <c r="G39" s="2009"/>
      <c r="H39" s="2009"/>
      <c r="I39" s="2009"/>
      <c r="J39" s="2009"/>
      <c r="K39" s="2009"/>
      <c r="L39" s="2009"/>
      <c r="M39" s="2009"/>
      <c r="N39" s="2009"/>
      <c r="O39" s="2009"/>
      <c r="P39" s="2009"/>
      <c r="Q39" s="2009"/>
      <c r="R39" s="2009"/>
      <c r="S39" s="2009"/>
      <c r="T39" s="2009"/>
      <c r="U39" s="2009"/>
      <c r="V39" s="2009"/>
      <c r="W39" s="2009"/>
      <c r="X39" s="2009"/>
      <c r="Y39" s="2010"/>
    </row>
    <row r="40" spans="1:25" ht="10.9" customHeight="1" x14ac:dyDescent="0.2">
      <c r="A40" s="113"/>
      <c r="B40" s="111"/>
      <c r="C40" s="111"/>
      <c r="D40" s="112"/>
      <c r="E40" s="111"/>
      <c r="F40" s="2002" t="s">
        <v>407</v>
      </c>
      <c r="G40" s="2002"/>
      <c r="H40" s="2002"/>
      <c r="I40" s="2002"/>
      <c r="J40" s="2002"/>
      <c r="K40" s="2002"/>
      <c r="L40" s="2002"/>
      <c r="M40" s="2002"/>
      <c r="N40" s="2002"/>
      <c r="O40" s="2002"/>
      <c r="P40" s="2002"/>
      <c r="Q40" s="2002"/>
      <c r="R40" s="2002"/>
      <c r="S40" s="2002"/>
      <c r="T40" s="2002"/>
      <c r="U40" s="2002"/>
      <c r="V40" s="2002"/>
      <c r="W40" s="2002"/>
      <c r="X40" s="2002"/>
      <c r="Y40" s="2002"/>
    </row>
    <row r="41" spans="1:25" ht="10.9" customHeight="1" x14ac:dyDescent="0.25">
      <c r="A41" s="113"/>
      <c r="B41" s="111"/>
      <c r="C41" s="111"/>
      <c r="D41" s="112"/>
      <c r="E41" s="111"/>
      <c r="F41" s="2003" t="s">
        <v>408</v>
      </c>
      <c r="G41" s="2003"/>
      <c r="H41" s="2003"/>
      <c r="I41" s="2003"/>
      <c r="J41" s="2003"/>
      <c r="K41" s="2003"/>
      <c r="L41" s="2003"/>
      <c r="M41" s="2003"/>
      <c r="N41" s="2003"/>
      <c r="O41" s="2003"/>
      <c r="P41" s="2003"/>
      <c r="Q41" s="2003"/>
      <c r="R41" s="2003"/>
      <c r="S41" s="2003"/>
      <c r="T41" s="2003"/>
      <c r="U41" s="2003"/>
      <c r="V41" s="2003"/>
      <c r="W41" s="2003"/>
      <c r="X41" s="2003"/>
      <c r="Y41" s="2003"/>
    </row>
    <row r="42" spans="1:25" ht="18.600000000000001" customHeight="1" x14ac:dyDescent="0.25">
      <c r="A42" s="113"/>
      <c r="B42" s="111"/>
      <c r="C42" s="111"/>
      <c r="D42" s="112"/>
      <c r="E42" s="111"/>
      <c r="F42" s="111"/>
      <c r="G42" s="110"/>
      <c r="H42" s="111"/>
      <c r="I42" s="111"/>
      <c r="J42" s="111"/>
      <c r="K42" s="112"/>
      <c r="L42" s="110"/>
      <c r="M42" s="111"/>
      <c r="N42" s="111"/>
      <c r="O42" s="111"/>
      <c r="P42" s="111"/>
      <c r="Q42" s="112"/>
      <c r="R42" s="112"/>
      <c r="S42" s="110"/>
      <c r="T42" s="111"/>
      <c r="U42" s="111"/>
      <c r="V42" s="111"/>
      <c r="W42" s="111"/>
      <c r="X42" s="112"/>
    </row>
    <row r="43" spans="1:25" ht="18.600000000000001" customHeight="1" x14ac:dyDescent="0.25">
      <c r="A43" s="114"/>
      <c r="B43" s="116"/>
      <c r="C43" s="111"/>
      <c r="D43" s="112"/>
      <c r="E43" s="111"/>
      <c r="F43" s="111"/>
      <c r="G43" s="111"/>
      <c r="H43" s="111"/>
      <c r="I43" s="111"/>
      <c r="J43" s="111"/>
      <c r="K43" s="112"/>
      <c r="L43" s="117"/>
      <c r="M43" s="111"/>
      <c r="N43" s="111"/>
      <c r="O43" s="111"/>
      <c r="P43" s="111"/>
      <c r="Q43" s="112"/>
      <c r="R43" s="112"/>
      <c r="S43" s="117"/>
      <c r="T43" s="111"/>
      <c r="U43" s="111"/>
      <c r="V43" s="111"/>
      <c r="W43" s="111"/>
      <c r="X43" s="112"/>
    </row>
    <row r="44" spans="1:25" ht="18.600000000000001" customHeight="1" x14ac:dyDescent="0.25">
      <c r="A44" s="115"/>
      <c r="B44" s="116"/>
      <c r="C44" s="111"/>
      <c r="D44" s="112"/>
      <c r="E44" s="111"/>
      <c r="F44" s="111"/>
      <c r="G44" s="111"/>
      <c r="H44" s="111"/>
      <c r="I44" s="111"/>
      <c r="J44" s="111"/>
      <c r="K44" s="112"/>
      <c r="L44" s="117"/>
      <c r="M44" s="111"/>
      <c r="N44" s="111"/>
      <c r="O44" s="111"/>
      <c r="P44" s="111"/>
      <c r="Q44" s="112"/>
      <c r="R44" s="112"/>
      <c r="S44" s="117"/>
      <c r="T44" s="111"/>
      <c r="U44" s="111"/>
      <c r="V44" s="111"/>
      <c r="W44" s="111"/>
      <c r="X44" s="112"/>
    </row>
    <row r="45" spans="1:25" ht="18.600000000000001" customHeight="1" x14ac:dyDescent="0.25">
      <c r="B45" s="108"/>
      <c r="C45" s="108"/>
      <c r="D45" s="108"/>
      <c r="E45" s="108"/>
      <c r="F45" s="108"/>
      <c r="G45" s="108"/>
      <c r="H45" s="108"/>
      <c r="I45" s="108"/>
      <c r="J45" s="108"/>
      <c r="K45" s="108"/>
      <c r="L45" s="108"/>
      <c r="M45" s="108"/>
      <c r="N45" s="109"/>
      <c r="O45" s="108"/>
      <c r="P45" s="108"/>
      <c r="Q45" s="108"/>
      <c r="R45" s="108"/>
      <c r="S45" s="108"/>
      <c r="T45" s="108"/>
      <c r="U45" s="108"/>
    </row>
    <row r="46" spans="1:25" ht="18.600000000000001" customHeight="1" x14ac:dyDescent="0.25">
      <c r="B46" s="108"/>
      <c r="C46" s="108"/>
      <c r="D46" s="108"/>
      <c r="E46" s="108"/>
      <c r="F46" s="108"/>
      <c r="G46" s="108"/>
      <c r="H46" s="108"/>
      <c r="I46" s="108"/>
      <c r="J46" s="108"/>
      <c r="K46" s="108"/>
      <c r="L46" s="108"/>
      <c r="M46" s="108"/>
      <c r="N46" s="109"/>
      <c r="O46" s="108"/>
      <c r="P46" s="108"/>
      <c r="Q46" s="108"/>
      <c r="R46" s="108"/>
      <c r="S46" s="108"/>
      <c r="T46" s="108"/>
      <c r="U46" s="108"/>
    </row>
    <row r="47" spans="1:25" ht="18.600000000000001" customHeight="1" x14ac:dyDescent="0.25"/>
    <row r="48" spans="1:25" ht="18.600000000000001" customHeight="1" x14ac:dyDescent="0.25"/>
    <row r="49" ht="18.600000000000001" customHeight="1" x14ac:dyDescent="0.25"/>
    <row r="50" ht="18.600000000000001" customHeight="1" x14ac:dyDescent="0.25"/>
    <row r="51" ht="18.600000000000001" customHeight="1" x14ac:dyDescent="0.25"/>
    <row r="52" ht="18.600000000000001" customHeight="1" x14ac:dyDescent="0.25"/>
    <row r="53" ht="18.600000000000001" customHeight="1" x14ac:dyDescent="0.25"/>
  </sheetData>
  <mergeCells count="87">
    <mergeCell ref="A16:E16"/>
    <mergeCell ref="W7:Y7"/>
    <mergeCell ref="L8:Y8"/>
    <mergeCell ref="R7:T7"/>
    <mergeCell ref="G10:J10"/>
    <mergeCell ref="G8:J8"/>
    <mergeCell ref="F16:K16"/>
    <mergeCell ref="S11:V11"/>
    <mergeCell ref="S12:V12"/>
    <mergeCell ref="T16:Y16"/>
    <mergeCell ref="M16:R16"/>
    <mergeCell ref="A21:E21"/>
    <mergeCell ref="T19:Y19"/>
    <mergeCell ref="P26:X26"/>
    <mergeCell ref="P27:X27"/>
    <mergeCell ref="A22:E22"/>
    <mergeCell ref="A24:E24"/>
    <mergeCell ref="F19:K19"/>
    <mergeCell ref="M19:R19"/>
    <mergeCell ref="P25:X25"/>
    <mergeCell ref="A26:E26"/>
    <mergeCell ref="P22:X22"/>
    <mergeCell ref="P21:X21"/>
    <mergeCell ref="P24:X24"/>
    <mergeCell ref="T18:Y18"/>
    <mergeCell ref="F17:K17"/>
    <mergeCell ref="F20:G20"/>
    <mergeCell ref="N20:O20"/>
    <mergeCell ref="H20:I20"/>
    <mergeCell ref="J20:K20"/>
    <mergeCell ref="L20:M20"/>
    <mergeCell ref="F18:K18"/>
    <mergeCell ref="M17:R17"/>
    <mergeCell ref="M18:R18"/>
    <mergeCell ref="T17:Y17"/>
    <mergeCell ref="A28:E28"/>
    <mergeCell ref="Q28:X28"/>
    <mergeCell ref="Q37:X37"/>
    <mergeCell ref="Q38:X38"/>
    <mergeCell ref="A33:E33"/>
    <mergeCell ref="Q35:X35"/>
    <mergeCell ref="Q36:X36"/>
    <mergeCell ref="Q30:X30"/>
    <mergeCell ref="Q29:X29"/>
    <mergeCell ref="Q32:X32"/>
    <mergeCell ref="A34:E34"/>
    <mergeCell ref="Q33:X33"/>
    <mergeCell ref="Q34:X34"/>
    <mergeCell ref="A1:S1"/>
    <mergeCell ref="A2:Z2"/>
    <mergeCell ref="AA1:CQ1"/>
    <mergeCell ref="F40:Y40"/>
    <mergeCell ref="F41:Y41"/>
    <mergeCell ref="A39:E39"/>
    <mergeCell ref="A35:E35"/>
    <mergeCell ref="A36:E36"/>
    <mergeCell ref="A30:E30"/>
    <mergeCell ref="A31:E31"/>
    <mergeCell ref="F39:Y39"/>
    <mergeCell ref="A29:E29"/>
    <mergeCell ref="A32:E32"/>
    <mergeCell ref="A37:E37"/>
    <mergeCell ref="A38:E38"/>
    <mergeCell ref="B3:E3"/>
    <mergeCell ref="G3:Q3"/>
    <mergeCell ref="R3:T3"/>
    <mergeCell ref="U3:Z3"/>
    <mergeCell ref="B4:E4"/>
    <mergeCell ref="G4:I4"/>
    <mergeCell ref="U4:Y4"/>
    <mergeCell ref="N4:T4"/>
    <mergeCell ref="B5:Y5"/>
    <mergeCell ref="AJ4:AK4"/>
    <mergeCell ref="G14:J14"/>
    <mergeCell ref="S13:V13"/>
    <mergeCell ref="S14:V14"/>
    <mergeCell ref="G12:J12"/>
    <mergeCell ref="G13:J13"/>
    <mergeCell ref="G7:J7"/>
    <mergeCell ref="G11:J11"/>
    <mergeCell ref="M10:P10"/>
    <mergeCell ref="M11:P11"/>
    <mergeCell ref="M12:P12"/>
    <mergeCell ref="M13:P13"/>
    <mergeCell ref="M7:O7"/>
    <mergeCell ref="M14:P14"/>
    <mergeCell ref="S10:V10"/>
  </mergeCells>
  <conditionalFormatting sqref="L7">
    <cfRule type="iconSet" priority="52">
      <iconSet iconSet="3Symbols2" showValue="0">
        <cfvo type="percent" val="0"/>
        <cfvo type="num" val="0.5"/>
        <cfvo type="num" val="1"/>
      </iconSet>
    </cfRule>
  </conditionalFormatting>
  <conditionalFormatting sqref="Q7">
    <cfRule type="iconSet" priority="51">
      <iconSet iconSet="3Symbols2" showValue="0">
        <cfvo type="percent" val="0"/>
        <cfvo type="num" val="0.5"/>
        <cfvo type="num" val="1"/>
      </iconSet>
    </cfRule>
  </conditionalFormatting>
  <conditionalFormatting sqref="V7">
    <cfRule type="iconSet" priority="50">
      <iconSet iconSet="3Symbols2" showValue="0">
        <cfvo type="percent" val="0"/>
        <cfvo type="num" val="0.5"/>
        <cfvo type="num" val="1"/>
      </iconSet>
    </cfRule>
  </conditionalFormatting>
  <conditionalFormatting sqref="F7:F8 F10:F14">
    <cfRule type="iconSet" priority="366">
      <iconSet iconSet="3Symbols2" showValue="0">
        <cfvo type="percent" val="0"/>
        <cfvo type="num" val="0.5"/>
        <cfvo type="num" val="1"/>
      </iconSet>
    </cfRule>
  </conditionalFormatting>
  <conditionalFormatting sqref="G7:J7">
    <cfRule type="expression" dxfId="120" priority="43">
      <formula>F7=1</formula>
    </cfRule>
  </conditionalFormatting>
  <conditionalFormatting sqref="M7:O7">
    <cfRule type="expression" dxfId="119" priority="34">
      <formula>L7=1</formula>
    </cfRule>
  </conditionalFormatting>
  <conditionalFormatting sqref="R7:T7">
    <cfRule type="expression" dxfId="118" priority="33">
      <formula>Q7=1</formula>
    </cfRule>
  </conditionalFormatting>
  <conditionalFormatting sqref="W7:Y7">
    <cfRule type="expression" dxfId="117" priority="32">
      <formula>V7=1</formula>
    </cfRule>
  </conditionalFormatting>
  <conditionalFormatting sqref="G8:J8">
    <cfRule type="expression" dxfId="116" priority="31">
      <formula>F8=1</formula>
    </cfRule>
  </conditionalFormatting>
  <conditionalFormatting sqref="G10:J14">
    <cfRule type="expression" dxfId="115" priority="30">
      <formula>F10=1</formula>
    </cfRule>
  </conditionalFormatting>
  <conditionalFormatting sqref="L10">
    <cfRule type="iconSet" priority="26">
      <iconSet iconSet="3Symbols2" showValue="0">
        <cfvo type="percent" val="0"/>
        <cfvo type="num" val="0.5"/>
        <cfvo type="num" val="1"/>
      </iconSet>
    </cfRule>
  </conditionalFormatting>
  <conditionalFormatting sqref="M10:P10">
    <cfRule type="expression" dxfId="114" priority="25">
      <formula>L10=1</formula>
    </cfRule>
  </conditionalFormatting>
  <conditionalFormatting sqref="L11">
    <cfRule type="iconSet" priority="24">
      <iconSet iconSet="3Symbols2" showValue="0">
        <cfvo type="percent" val="0"/>
        <cfvo type="num" val="0.5"/>
        <cfvo type="num" val="1"/>
      </iconSet>
    </cfRule>
  </conditionalFormatting>
  <conditionalFormatting sqref="M11:P11">
    <cfRule type="expression" dxfId="113" priority="23">
      <formula>L11=1</formula>
    </cfRule>
  </conditionalFormatting>
  <conditionalFormatting sqref="L12">
    <cfRule type="iconSet" priority="22">
      <iconSet iconSet="3Symbols2" showValue="0">
        <cfvo type="percent" val="0"/>
        <cfvo type="num" val="0.5"/>
        <cfvo type="num" val="1"/>
      </iconSet>
    </cfRule>
  </conditionalFormatting>
  <conditionalFormatting sqref="M12:P12">
    <cfRule type="expression" dxfId="112" priority="21">
      <formula>L12=1</formula>
    </cfRule>
  </conditionalFormatting>
  <conditionalFormatting sqref="L13">
    <cfRule type="iconSet" priority="20">
      <iconSet iconSet="3Symbols2" showValue="0">
        <cfvo type="percent" val="0"/>
        <cfvo type="num" val="0.5"/>
        <cfvo type="num" val="1"/>
      </iconSet>
    </cfRule>
  </conditionalFormatting>
  <conditionalFormatting sqref="M13:P13">
    <cfRule type="expression" dxfId="111" priority="19">
      <formula>L13=1</formula>
    </cfRule>
  </conditionalFormatting>
  <conditionalFormatting sqref="L14">
    <cfRule type="iconSet" priority="18">
      <iconSet iconSet="3Symbols2" showValue="0">
        <cfvo type="percent" val="0"/>
        <cfvo type="num" val="0.5"/>
        <cfvo type="num" val="1"/>
      </iconSet>
    </cfRule>
  </conditionalFormatting>
  <conditionalFormatting sqref="M14:P14">
    <cfRule type="expression" dxfId="110" priority="17">
      <formula>L14=1</formula>
    </cfRule>
  </conditionalFormatting>
  <conditionalFormatting sqref="R10">
    <cfRule type="iconSet" priority="14">
      <iconSet iconSet="3Symbols2" showValue="0">
        <cfvo type="percent" val="0"/>
        <cfvo type="num" val="0.5"/>
        <cfvo type="num" val="1"/>
      </iconSet>
    </cfRule>
  </conditionalFormatting>
  <conditionalFormatting sqref="S10:V10">
    <cfRule type="expression" dxfId="109" priority="13">
      <formula>R10=1</formula>
    </cfRule>
  </conditionalFormatting>
  <conditionalFormatting sqref="R11">
    <cfRule type="iconSet" priority="12">
      <iconSet iconSet="3Symbols2" showValue="0">
        <cfvo type="percent" val="0"/>
        <cfvo type="num" val="0.5"/>
        <cfvo type="num" val="1"/>
      </iconSet>
    </cfRule>
  </conditionalFormatting>
  <conditionalFormatting sqref="S11:V11">
    <cfRule type="expression" dxfId="108" priority="11">
      <formula>R11=1</formula>
    </cfRule>
  </conditionalFormatting>
  <conditionalFormatting sqref="R12">
    <cfRule type="iconSet" priority="10">
      <iconSet iconSet="3Symbols2" showValue="0">
        <cfvo type="percent" val="0"/>
        <cfvo type="num" val="0.5"/>
        <cfvo type="num" val="1"/>
      </iconSet>
    </cfRule>
  </conditionalFormatting>
  <conditionalFormatting sqref="R13">
    <cfRule type="iconSet" priority="8">
      <iconSet iconSet="3Symbols2" showValue="0">
        <cfvo type="percent" val="0"/>
        <cfvo type="num" val="0.5"/>
        <cfvo type="num" val="1"/>
      </iconSet>
    </cfRule>
  </conditionalFormatting>
  <conditionalFormatting sqref="S14:V14">
    <cfRule type="expression" dxfId="107" priority="5">
      <formula>R14=1</formula>
    </cfRule>
  </conditionalFormatting>
  <conditionalFormatting sqref="R14">
    <cfRule type="iconSet" priority="6">
      <iconSet iconSet="3Symbols2" showValue="0">
        <cfvo type="percent" val="0"/>
        <cfvo type="num" val="0.5"/>
        <cfvo type="num" val="1"/>
      </iconSet>
    </cfRule>
  </conditionalFormatting>
  <conditionalFormatting sqref="F26:O26 F21:O22 F28:O38 F24:O24">
    <cfRule type="iconSet" priority="651">
      <iconSet iconSet="3Symbols2" showValue="0">
        <cfvo type="percent" val="0"/>
        <cfvo type="percent" val="33"/>
        <cfvo type="percent" val="67"/>
      </iconSet>
    </cfRule>
  </conditionalFormatting>
  <conditionalFormatting sqref="S12:V12">
    <cfRule type="expression" dxfId="106" priority="2">
      <formula>R12=1</formula>
    </cfRule>
  </conditionalFormatting>
  <conditionalFormatting sqref="S13:V13">
    <cfRule type="expression" dxfId="105" priority="1">
      <formula>R13=1</formula>
    </cfRule>
  </conditionalFormatting>
  <dataValidations count="2">
    <dataValidation type="list" allowBlank="1" showInputMessage="1" showErrorMessage="1" sqref="P26:X26">
      <formula1>$BT$24:$BT$33</formula1>
    </dataValidation>
    <dataValidation type="list" allowBlank="1" showInputMessage="1" showErrorMessage="1" sqref="Y22:Y24">
      <formula1>$BU$24:$BU$27</formula1>
    </dataValidation>
  </dataValidations>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Header>&amp;C&amp;G</oddHead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Z42"/>
  <sheetViews>
    <sheetView showGridLines="0" showRuler="0" topLeftCell="A13" zoomScaleNormal="100" zoomScaleSheetLayoutView="100" workbookViewId="0">
      <selection activeCell="A26" sqref="A26"/>
    </sheetView>
  </sheetViews>
  <sheetFormatPr defaultColWidth="3.5703125" defaultRowHeight="18.75" customHeight="1" x14ac:dyDescent="0.25"/>
  <cols>
    <col min="1" max="1" width="3.5703125" style="121" customWidth="1"/>
    <col min="2" max="2" width="3.5703125" style="121"/>
    <col min="3" max="16" width="3.5703125" style="21"/>
    <col min="17" max="17" width="3.5703125" style="23"/>
    <col min="18" max="19" width="3.5703125" style="21"/>
    <col min="20" max="21" width="6.28515625" style="21" customWidth="1"/>
    <col min="22" max="24" width="3.5703125" style="21"/>
    <col min="25" max="25" width="5.140625" style="21" customWidth="1"/>
    <col min="26" max="26" width="3.5703125" style="21" customWidth="1"/>
    <col min="27" max="27" width="21.28515625" style="129" customWidth="1"/>
    <col min="28" max="28" width="12.5703125" style="129" hidden="1" customWidth="1"/>
    <col min="29" max="30" width="10.5703125" style="94" hidden="1" customWidth="1"/>
    <col min="31" max="31" width="8" style="94" hidden="1" customWidth="1"/>
    <col min="32" max="32" width="5.5703125" style="94" hidden="1" customWidth="1"/>
    <col min="33" max="33" width="8" style="94" hidden="1" customWidth="1"/>
    <col min="34" max="45" width="3.5703125" style="94"/>
    <col min="46" max="104" width="3.5703125" style="129"/>
    <col min="105" max="16384" width="3.5703125" style="21"/>
  </cols>
  <sheetData>
    <row r="1" spans="1:104" s="28" customFormat="1" ht="48" customHeight="1" x14ac:dyDescent="0.25">
      <c r="A1" s="1622" t="s">
        <v>1333</v>
      </c>
      <c r="B1" s="1622"/>
      <c r="C1" s="1622"/>
      <c r="D1" s="1622"/>
      <c r="E1" s="1622"/>
      <c r="F1" s="1622"/>
      <c r="G1" s="1622"/>
      <c r="H1" s="1622"/>
      <c r="I1" s="1622"/>
      <c r="J1" s="1622"/>
      <c r="K1" s="1622"/>
      <c r="L1" s="1622"/>
      <c r="M1" s="1622"/>
      <c r="N1" s="1622"/>
      <c r="O1" s="1622"/>
      <c r="P1" s="1856"/>
      <c r="Q1" s="1856"/>
      <c r="R1" s="104"/>
      <c r="S1" s="104"/>
      <c r="T1" s="104"/>
      <c r="U1" s="104"/>
      <c r="V1" s="104"/>
      <c r="W1" s="104"/>
      <c r="X1" s="104"/>
      <c r="Y1" s="104"/>
      <c r="Z1" s="101"/>
      <c r="AA1" s="129"/>
      <c r="AB1" s="129"/>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row>
    <row r="2" spans="1:104" s="27" customFormat="1" ht="4.9000000000000004"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614"/>
      <c r="AA2" s="153"/>
      <c r="AB2" s="153"/>
      <c r="AC2" s="597"/>
      <c r="AD2" s="597"/>
      <c r="AE2" s="597"/>
      <c r="AF2" s="597"/>
      <c r="AG2" s="597"/>
      <c r="AH2" s="597"/>
      <c r="AI2" s="597"/>
      <c r="AJ2" s="597"/>
      <c r="AK2" s="597"/>
      <c r="AL2" s="597"/>
      <c r="AM2" s="597"/>
      <c r="AN2" s="597"/>
      <c r="AO2" s="597"/>
      <c r="AP2" s="597"/>
      <c r="AQ2" s="597"/>
      <c r="AR2" s="597"/>
      <c r="AS2" s="597"/>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row>
    <row r="3" spans="1:104" ht="18.75" customHeight="1"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c r="T3" s="1724"/>
      <c r="U3" s="1727"/>
      <c r="V3" s="1727"/>
      <c r="W3" s="1727"/>
      <c r="X3" s="1727"/>
      <c r="Y3" s="1727"/>
      <c r="AB3" s="94"/>
      <c r="AS3" s="129"/>
    </row>
    <row r="4" spans="1:104" s="27" customFormat="1" ht="6.4" customHeight="1" x14ac:dyDescent="0.25">
      <c r="A4" s="689"/>
      <c r="B4" s="1722"/>
      <c r="C4" s="1722"/>
      <c r="D4" s="1722"/>
      <c r="E4" s="1722"/>
      <c r="F4" s="1722"/>
      <c r="G4" s="1722"/>
      <c r="H4" s="1722"/>
      <c r="I4" s="1722"/>
      <c r="J4" s="1722"/>
      <c r="K4" s="1722"/>
      <c r="L4" s="1722"/>
      <c r="M4" s="1722"/>
      <c r="N4" s="1722"/>
      <c r="O4" s="1722"/>
      <c r="P4" s="1722"/>
      <c r="Q4" s="1722"/>
      <c r="R4" s="1722"/>
      <c r="S4" s="1722"/>
      <c r="T4" s="1722"/>
      <c r="U4" s="1722"/>
      <c r="V4" s="1722"/>
      <c r="W4" s="1722"/>
      <c r="X4" s="1722"/>
      <c r="Y4" s="689"/>
      <c r="AA4" s="153"/>
      <c r="AB4" s="597"/>
      <c r="AC4" s="597"/>
      <c r="AD4" s="597"/>
      <c r="AE4" s="597"/>
      <c r="AF4" s="597"/>
      <c r="AG4" s="597"/>
      <c r="AH4" s="597"/>
      <c r="AI4" s="597"/>
      <c r="AJ4" s="597"/>
      <c r="AK4" s="597"/>
      <c r="AL4" s="597"/>
      <c r="AM4" s="597"/>
      <c r="AN4" s="597"/>
      <c r="AO4" s="597"/>
      <c r="AP4" s="597"/>
      <c r="AQ4" s="597"/>
      <c r="AR4" s="597"/>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row>
    <row r="5" spans="1:104" s="27" customFormat="1" ht="6" customHeight="1" x14ac:dyDescent="0.25">
      <c r="AA5" s="153"/>
      <c r="AB5" s="597"/>
      <c r="AC5" s="597"/>
      <c r="AD5" s="597"/>
      <c r="AE5" s="597"/>
      <c r="AF5" s="597"/>
      <c r="AG5" s="597"/>
      <c r="AH5" s="597"/>
      <c r="AI5" s="964"/>
      <c r="AJ5" s="597"/>
      <c r="AK5" s="597"/>
      <c r="AL5" s="597"/>
      <c r="AM5" s="597"/>
      <c r="AN5" s="597"/>
      <c r="AO5" s="597"/>
      <c r="AP5" s="597"/>
      <c r="AQ5" s="597"/>
      <c r="AR5" s="597"/>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row>
    <row r="6" spans="1:104" ht="26.25" x14ac:dyDescent="0.2">
      <c r="A6" s="2038" t="s">
        <v>1387</v>
      </c>
      <c r="B6" s="2039"/>
      <c r="C6" s="2039"/>
      <c r="D6" s="2039"/>
      <c r="E6" s="2039"/>
      <c r="F6" s="2039"/>
      <c r="G6" s="2039"/>
      <c r="H6" s="2039"/>
      <c r="I6" s="2039"/>
      <c r="J6" s="2039"/>
      <c r="K6" s="2039"/>
      <c r="L6" s="2039"/>
      <c r="M6" s="2039"/>
      <c r="N6" s="2039"/>
      <c r="O6" s="2039"/>
      <c r="P6" s="2039"/>
      <c r="Q6" s="2039"/>
      <c r="R6" s="2039"/>
      <c r="S6" s="2039"/>
      <c r="T6" s="2039"/>
      <c r="U6" s="2039"/>
      <c r="V6" s="2030"/>
      <c r="W6" s="2030"/>
      <c r="X6" s="2030"/>
      <c r="Y6" s="2031"/>
      <c r="AB6" s="94"/>
      <c r="AI6" s="964"/>
      <c r="AS6" s="129"/>
    </row>
    <row r="7" spans="1:104" ht="18.75" customHeight="1" x14ac:dyDescent="0.25">
      <c r="A7" s="1360"/>
      <c r="B7" s="1361"/>
      <c r="C7" s="1358" t="s">
        <v>1383</v>
      </c>
      <c r="D7" s="1361"/>
      <c r="E7" s="1361"/>
      <c r="G7" s="1358"/>
      <c r="H7" s="1358"/>
      <c r="I7" s="1358"/>
      <c r="J7" s="1358"/>
      <c r="K7" s="1358"/>
      <c r="L7" s="1358"/>
      <c r="M7" s="1358"/>
      <c r="N7" s="1358"/>
      <c r="O7" s="1358"/>
      <c r="P7" s="1358"/>
      <c r="Q7" s="1358"/>
      <c r="R7" s="1358"/>
      <c r="S7" s="1358"/>
      <c r="T7" s="1358"/>
      <c r="U7" s="1358"/>
      <c r="V7" s="956"/>
      <c r="W7" s="1012" t="s">
        <v>550</v>
      </c>
      <c r="X7" s="956"/>
      <c r="Y7" s="1012" t="s">
        <v>551</v>
      </c>
      <c r="AB7" s="94"/>
      <c r="AI7" s="964"/>
      <c r="AS7" s="129"/>
    </row>
    <row r="8" spans="1:104" ht="18.75" customHeight="1" x14ac:dyDescent="0.25">
      <c r="A8" s="1345"/>
      <c r="B8" s="1346"/>
      <c r="C8" s="1358" t="s">
        <v>1384</v>
      </c>
      <c r="D8" s="1346"/>
      <c r="E8" s="1346"/>
      <c r="G8" s="1358"/>
      <c r="H8" s="1358"/>
      <c r="I8" s="1358"/>
      <c r="J8" s="1358"/>
      <c r="K8" s="1358"/>
      <c r="L8" s="1358"/>
      <c r="M8" s="1358"/>
      <c r="N8" s="1358"/>
      <c r="O8" s="1358"/>
      <c r="P8" s="1358"/>
      <c r="Q8" s="1358"/>
      <c r="R8" s="1358"/>
      <c r="S8" s="1358"/>
      <c r="T8" s="1358"/>
      <c r="U8" s="1358"/>
      <c r="V8" s="956"/>
      <c r="W8" s="1012" t="s">
        <v>550</v>
      </c>
      <c r="X8" s="956"/>
      <c r="Y8" s="1012" t="s">
        <v>551</v>
      </c>
      <c r="AB8" s="94"/>
      <c r="AI8" s="964"/>
      <c r="AS8" s="129"/>
    </row>
    <row r="9" spans="1:104" ht="18.75" customHeight="1" x14ac:dyDescent="0.25">
      <c r="A9" s="1342"/>
      <c r="B9" s="1346"/>
      <c r="C9" s="1358" t="s">
        <v>1385</v>
      </c>
      <c r="D9" s="1346"/>
      <c r="E9" s="1346"/>
      <c r="G9" s="1358"/>
      <c r="H9" s="1358"/>
      <c r="I9" s="1358"/>
      <c r="J9" s="1358"/>
      <c r="K9" s="1358"/>
      <c r="L9" s="1358"/>
      <c r="M9" s="1358"/>
      <c r="N9" s="1358"/>
      <c r="O9" s="1358"/>
      <c r="P9" s="1358"/>
      <c r="Q9" s="1358"/>
      <c r="R9" s="1358"/>
      <c r="S9" s="1358"/>
      <c r="T9" s="1358"/>
      <c r="U9" s="1358"/>
      <c r="V9" s="956"/>
      <c r="W9" s="1012" t="s">
        <v>550</v>
      </c>
      <c r="X9" s="956"/>
      <c r="Y9" s="1012" t="s">
        <v>551</v>
      </c>
      <c r="AB9" s="94"/>
      <c r="AI9" s="1316"/>
      <c r="AS9" s="129"/>
    </row>
    <row r="10" spans="1:104" ht="18.75" customHeight="1" x14ac:dyDescent="0.25">
      <c r="A10" s="1351"/>
      <c r="B10" s="1343"/>
      <c r="C10" s="1359" t="s">
        <v>1378</v>
      </c>
      <c r="D10" s="1343"/>
      <c r="E10" s="1343"/>
      <c r="G10" s="1359"/>
      <c r="H10" s="1359"/>
      <c r="I10" s="1359"/>
      <c r="J10" s="1359"/>
      <c r="K10" s="1359"/>
      <c r="L10" s="1359"/>
      <c r="M10" s="1359"/>
      <c r="N10" s="1359"/>
      <c r="O10" s="1359"/>
      <c r="P10" s="1359"/>
      <c r="Q10" s="1359"/>
      <c r="R10" s="1359"/>
      <c r="S10" s="1359"/>
      <c r="T10" s="1359"/>
      <c r="U10" s="1359"/>
      <c r="V10" s="1347"/>
      <c r="W10" s="1354" t="s">
        <v>550</v>
      </c>
      <c r="X10" s="1347"/>
      <c r="Y10" s="1354" t="s">
        <v>551</v>
      </c>
      <c r="AB10" s="94"/>
      <c r="AI10" s="1316"/>
      <c r="AS10" s="129"/>
    </row>
    <row r="11" spans="1:104" ht="18.75" customHeight="1" x14ac:dyDescent="0.25">
      <c r="A11" s="1352" t="s">
        <v>377</v>
      </c>
      <c r="B11" s="1353"/>
      <c r="C11" s="2036"/>
      <c r="D11" s="2036"/>
      <c r="E11" s="2036"/>
      <c r="F11" s="2036"/>
      <c r="G11" s="2036"/>
      <c r="H11" s="2036"/>
      <c r="I11" s="2036"/>
      <c r="J11" s="2036"/>
      <c r="K11" s="2036"/>
      <c r="L11" s="2036"/>
      <c r="M11" s="2036"/>
      <c r="N11" s="2036"/>
      <c r="O11" s="2036"/>
      <c r="P11" s="2036"/>
      <c r="Q11" s="2036"/>
      <c r="R11" s="2036"/>
      <c r="S11" s="2036"/>
      <c r="T11" s="2036"/>
      <c r="U11" s="2036"/>
      <c r="V11" s="2036"/>
      <c r="W11" s="2036"/>
      <c r="X11" s="2036"/>
      <c r="Y11" s="2037"/>
      <c r="AB11" s="94"/>
      <c r="AI11" s="1316"/>
      <c r="AS11" s="129"/>
    </row>
    <row r="12" spans="1:104" ht="26.25" x14ac:dyDescent="0.2">
      <c r="A12" s="2038" t="s">
        <v>1386</v>
      </c>
      <c r="B12" s="2039"/>
      <c r="C12" s="2039"/>
      <c r="D12" s="2039"/>
      <c r="E12" s="2039"/>
      <c r="F12" s="2039"/>
      <c r="G12" s="2039"/>
      <c r="H12" s="2039"/>
      <c r="I12" s="2039"/>
      <c r="J12" s="1357"/>
      <c r="K12" s="1357"/>
      <c r="L12" s="1357"/>
      <c r="M12" s="1357"/>
      <c r="N12" s="1357"/>
      <c r="O12" s="1357"/>
      <c r="P12" s="1357"/>
      <c r="Q12" s="1357"/>
      <c r="R12" s="1357"/>
      <c r="S12" s="1357"/>
      <c r="T12" s="1357"/>
      <c r="U12" s="1357"/>
      <c r="V12" s="2030"/>
      <c r="W12" s="2030"/>
      <c r="X12" s="2030"/>
      <c r="Y12" s="2031"/>
      <c r="AB12" s="94"/>
      <c r="AI12" s="1316"/>
      <c r="AS12" s="129"/>
    </row>
    <row r="13" spans="1:104" ht="18.75" customHeight="1" x14ac:dyDescent="0.25">
      <c r="A13" s="1360"/>
      <c r="B13" s="1358"/>
      <c r="C13" s="1358" t="s">
        <v>1377</v>
      </c>
      <c r="D13" s="1358"/>
      <c r="E13" s="1358"/>
      <c r="G13" s="1358"/>
      <c r="H13" s="1358"/>
      <c r="I13" s="1358"/>
      <c r="J13" s="1358"/>
      <c r="K13" s="1358"/>
      <c r="L13" s="1358"/>
      <c r="M13" s="1358"/>
      <c r="N13" s="1358"/>
      <c r="O13" s="1358"/>
      <c r="P13" s="1358"/>
      <c r="Q13" s="1358"/>
      <c r="R13" s="1358"/>
      <c r="S13" s="1358"/>
      <c r="T13" s="1358"/>
      <c r="U13" s="1362"/>
      <c r="V13" s="956"/>
      <c r="W13" s="1012" t="s">
        <v>550</v>
      </c>
      <c r="X13" s="956"/>
      <c r="Y13" s="1012" t="s">
        <v>551</v>
      </c>
      <c r="AA13" s="129" t="s">
        <v>250</v>
      </c>
      <c r="AB13" s="94"/>
      <c r="AH13" s="94" t="s">
        <v>250</v>
      </c>
      <c r="AI13" s="964"/>
      <c r="AS13" s="129"/>
    </row>
    <row r="14" spans="1:104" ht="18.75" customHeight="1" x14ac:dyDescent="0.25">
      <c r="A14" s="1345"/>
      <c r="B14" s="1346"/>
      <c r="C14" s="1359" t="s">
        <v>1379</v>
      </c>
      <c r="D14" s="1346"/>
      <c r="E14" s="1346"/>
      <c r="G14" s="1359"/>
      <c r="H14" s="1359"/>
      <c r="I14" s="1359"/>
      <c r="J14" s="1359"/>
      <c r="K14" s="1359"/>
      <c r="L14" s="1359"/>
      <c r="M14" s="1359"/>
      <c r="N14" s="1359"/>
      <c r="O14" s="1359"/>
      <c r="P14" s="1359"/>
      <c r="Q14" s="1359"/>
      <c r="R14" s="1359"/>
      <c r="S14" s="1359"/>
      <c r="T14" s="1359"/>
      <c r="U14" s="1359"/>
      <c r="V14" s="1347"/>
      <c r="W14" s="1354" t="s">
        <v>550</v>
      </c>
      <c r="X14" s="1347"/>
      <c r="Y14" s="1354" t="s">
        <v>551</v>
      </c>
      <c r="AB14" s="94"/>
      <c r="AI14" s="964"/>
      <c r="AS14" s="129"/>
    </row>
    <row r="15" spans="1:104" ht="18.75" customHeight="1" x14ac:dyDescent="0.25">
      <c r="A15" s="1352" t="s">
        <v>377</v>
      </c>
      <c r="B15" s="1353"/>
      <c r="C15" s="2036"/>
      <c r="D15" s="2036"/>
      <c r="E15" s="2036"/>
      <c r="F15" s="2036"/>
      <c r="G15" s="2036"/>
      <c r="H15" s="2036"/>
      <c r="I15" s="2036"/>
      <c r="J15" s="2036"/>
      <c r="K15" s="2036"/>
      <c r="L15" s="2036"/>
      <c r="M15" s="2036"/>
      <c r="N15" s="2036"/>
      <c r="O15" s="2036"/>
      <c r="P15" s="2036"/>
      <c r="Q15" s="2036"/>
      <c r="R15" s="2036"/>
      <c r="S15" s="2036"/>
      <c r="T15" s="2036"/>
      <c r="U15" s="2036"/>
      <c r="V15" s="2036"/>
      <c r="W15" s="2036"/>
      <c r="X15" s="2036"/>
      <c r="Y15" s="2037"/>
      <c r="AI15" s="964"/>
    </row>
    <row r="16" spans="1:104" ht="26.25" x14ac:dyDescent="0.2">
      <c r="A16" s="2038" t="s">
        <v>1390</v>
      </c>
      <c r="B16" s="2039"/>
      <c r="C16" s="2039"/>
      <c r="D16" s="2039"/>
      <c r="E16" s="2039"/>
      <c r="F16" s="2039"/>
      <c r="G16" s="2039"/>
      <c r="H16" s="2039"/>
      <c r="I16" s="2039"/>
      <c r="J16" s="1357"/>
      <c r="K16" s="1357"/>
      <c r="L16" s="1357"/>
      <c r="M16" s="1357"/>
      <c r="N16" s="1357"/>
      <c r="O16" s="1357"/>
      <c r="P16" s="1357"/>
      <c r="Q16" s="1357"/>
      <c r="R16" s="1357"/>
      <c r="S16" s="1357"/>
      <c r="T16" s="1357"/>
      <c r="U16" s="1357"/>
      <c r="V16" s="2030"/>
      <c r="W16" s="2030"/>
      <c r="X16" s="2030"/>
      <c r="Y16" s="2031"/>
      <c r="AI16" s="1316"/>
    </row>
    <row r="17" spans="1:35" ht="18.75" customHeight="1" x14ac:dyDescent="0.25">
      <c r="A17" s="1360"/>
      <c r="B17" s="1361"/>
      <c r="C17" s="1358" t="s">
        <v>994</v>
      </c>
      <c r="D17" s="1361"/>
      <c r="E17" s="1361"/>
      <c r="G17" s="1358"/>
      <c r="H17" s="1358"/>
      <c r="I17" s="1358"/>
      <c r="J17" s="1358"/>
      <c r="K17" s="1358"/>
      <c r="L17" s="1358"/>
      <c r="M17" s="1358"/>
      <c r="N17" s="1358"/>
      <c r="O17" s="1358"/>
      <c r="P17" s="1358"/>
      <c r="Q17" s="1358"/>
      <c r="R17" s="1358"/>
      <c r="S17" s="1358"/>
      <c r="T17" s="1358"/>
      <c r="U17" s="1362"/>
      <c r="V17" s="956"/>
      <c r="W17" s="1012" t="s">
        <v>550</v>
      </c>
      <c r="X17" s="956"/>
      <c r="Y17" s="1012" t="s">
        <v>551</v>
      </c>
      <c r="Z17" s="101"/>
      <c r="AA17" s="1344" t="s">
        <v>1005</v>
      </c>
      <c r="AI17" s="1010"/>
    </row>
    <row r="18" spans="1:35" ht="18.75" customHeight="1" x14ac:dyDescent="0.25">
      <c r="A18" s="1011"/>
      <c r="B18" s="895"/>
      <c r="C18" s="1359" t="s">
        <v>1380</v>
      </c>
      <c r="D18" s="895"/>
      <c r="E18" s="895"/>
      <c r="G18" s="1359"/>
      <c r="H18" s="1359"/>
      <c r="I18" s="1359"/>
      <c r="J18" s="1359"/>
      <c r="K18" s="1359"/>
      <c r="L18" s="1359"/>
      <c r="M18" s="1359"/>
      <c r="N18" s="1359"/>
      <c r="O18" s="1359"/>
      <c r="P18" s="1359"/>
      <c r="Q18" s="1359"/>
      <c r="R18" s="1359"/>
      <c r="S18" s="1359"/>
      <c r="T18" s="1359"/>
      <c r="U18" s="1359"/>
      <c r="V18" s="1347"/>
      <c r="W18" s="1354" t="s">
        <v>550</v>
      </c>
      <c r="X18" s="1347"/>
      <c r="Y18" s="1354" t="s">
        <v>551</v>
      </c>
      <c r="Z18" s="101"/>
      <c r="AI18" s="964"/>
    </row>
    <row r="19" spans="1:35" ht="15" x14ac:dyDescent="0.25">
      <c r="A19" s="2034" t="s">
        <v>1430</v>
      </c>
      <c r="B19" s="2035"/>
      <c r="C19" s="2035"/>
      <c r="D19" s="2035"/>
      <c r="E19" s="2035"/>
      <c r="F19" s="2035"/>
      <c r="G19" s="2035"/>
      <c r="H19" s="2035"/>
      <c r="I19" s="2035"/>
      <c r="J19" s="2035"/>
      <c r="K19" s="2035"/>
      <c r="L19" s="2035"/>
      <c r="M19" s="2035"/>
      <c r="N19" s="2035"/>
      <c r="O19" s="2035"/>
      <c r="P19" s="2035"/>
      <c r="Q19" s="2035"/>
      <c r="R19" s="2035"/>
      <c r="S19" s="2035"/>
      <c r="T19" s="2035"/>
      <c r="U19" s="2035"/>
      <c r="V19" s="2035"/>
      <c r="W19" s="2035"/>
      <c r="X19" s="2035"/>
      <c r="Y19" s="2040"/>
      <c r="Z19" s="101"/>
      <c r="AI19" s="964"/>
    </row>
    <row r="20" spans="1:35" ht="18.75" customHeight="1" x14ac:dyDescent="0.25">
      <c r="A20" s="1352" t="s">
        <v>377</v>
      </c>
      <c r="B20" s="1353"/>
      <c r="C20" s="2036"/>
      <c r="D20" s="2036"/>
      <c r="E20" s="2036"/>
      <c r="F20" s="2036"/>
      <c r="G20" s="2036"/>
      <c r="H20" s="2036"/>
      <c r="I20" s="2036"/>
      <c r="J20" s="2036"/>
      <c r="K20" s="2036"/>
      <c r="L20" s="2036"/>
      <c r="M20" s="2036"/>
      <c r="N20" s="2036"/>
      <c r="O20" s="2036"/>
      <c r="P20" s="2036"/>
      <c r="Q20" s="2036"/>
      <c r="R20" s="2036"/>
      <c r="S20" s="2036"/>
      <c r="T20" s="2036"/>
      <c r="U20" s="2036"/>
      <c r="V20" s="2036"/>
      <c r="W20" s="2036"/>
      <c r="X20" s="2036"/>
      <c r="Y20" s="2037"/>
      <c r="AI20" s="1316"/>
    </row>
    <row r="21" spans="1:35" ht="26.25" x14ac:dyDescent="0.2">
      <c r="A21" s="2038" t="s">
        <v>589</v>
      </c>
      <c r="B21" s="2039"/>
      <c r="C21" s="2039"/>
      <c r="D21" s="2039"/>
      <c r="E21" s="2039"/>
      <c r="F21" s="2039"/>
      <c r="G21" s="2039"/>
      <c r="H21" s="2039"/>
      <c r="I21" s="2039"/>
      <c r="J21" s="1357"/>
      <c r="K21" s="1357"/>
      <c r="L21" s="1357"/>
      <c r="M21" s="1357"/>
      <c r="N21" s="1357"/>
      <c r="O21" s="1357"/>
      <c r="P21" s="1357"/>
      <c r="Q21" s="1357"/>
      <c r="R21" s="1357"/>
      <c r="S21" s="1357"/>
      <c r="T21" s="1357"/>
      <c r="U21" s="1357"/>
      <c r="V21" s="2030"/>
      <c r="W21" s="2030"/>
      <c r="X21" s="2030"/>
      <c r="Y21" s="2031"/>
      <c r="AI21" s="1316"/>
    </row>
    <row r="22" spans="1:35" ht="18.75" customHeight="1" x14ac:dyDescent="0.25">
      <c r="A22" s="1360"/>
      <c r="B22" s="1361"/>
      <c r="C22" s="1358" t="s">
        <v>1381</v>
      </c>
      <c r="D22" s="1361"/>
      <c r="E22" s="1361"/>
      <c r="G22" s="1358"/>
      <c r="H22" s="1358"/>
      <c r="I22" s="1358"/>
      <c r="J22" s="1358"/>
      <c r="K22" s="1358"/>
      <c r="L22" s="1358"/>
      <c r="M22" s="1358"/>
      <c r="N22" s="1358"/>
      <c r="O22" s="1358"/>
      <c r="P22" s="1358"/>
      <c r="Q22" s="1358"/>
      <c r="R22" s="1358"/>
      <c r="S22" s="1358"/>
      <c r="T22" s="1358"/>
      <c r="U22" s="1362"/>
      <c r="V22" s="823"/>
      <c r="W22" s="957" t="s">
        <v>550</v>
      </c>
      <c r="X22" s="823"/>
      <c r="Y22" s="957" t="s">
        <v>551</v>
      </c>
      <c r="Z22" s="101"/>
      <c r="AI22" s="1316"/>
    </row>
    <row r="23" spans="1:35" ht="18.75" customHeight="1" x14ac:dyDescent="0.25">
      <c r="A23" s="1348"/>
      <c r="B23" s="1349"/>
      <c r="C23" s="1358" t="s">
        <v>1382</v>
      </c>
      <c r="D23" s="1349"/>
      <c r="E23" s="1349"/>
      <c r="G23" s="1358"/>
      <c r="H23" s="1358"/>
      <c r="I23" s="1358"/>
      <c r="J23" s="1358"/>
      <c r="K23" s="1358"/>
      <c r="L23" s="1358"/>
      <c r="M23" s="1358"/>
      <c r="N23" s="1358"/>
      <c r="O23" s="1358"/>
      <c r="P23" s="1358"/>
      <c r="Q23" s="1358"/>
      <c r="R23" s="1358"/>
      <c r="S23" s="1358"/>
      <c r="T23" s="1358"/>
      <c r="U23" s="1358"/>
      <c r="V23" s="1341"/>
      <c r="W23" s="957" t="s">
        <v>550</v>
      </c>
      <c r="X23" s="1341"/>
      <c r="Y23" s="957" t="s">
        <v>551</v>
      </c>
      <c r="Z23" s="101"/>
      <c r="AI23" s="1316"/>
    </row>
    <row r="24" spans="1:35" ht="18.75" customHeight="1" x14ac:dyDescent="0.25">
      <c r="A24" s="1348"/>
      <c r="B24" s="1349"/>
      <c r="C24" s="1359" t="s">
        <v>1378</v>
      </c>
      <c r="D24" s="1349"/>
      <c r="E24" s="1349"/>
      <c r="G24" s="1359"/>
      <c r="H24" s="1359"/>
      <c r="I24" s="1359"/>
      <c r="J24" s="1359"/>
      <c r="K24" s="1359"/>
      <c r="L24" s="1359"/>
      <c r="M24" s="1359"/>
      <c r="N24" s="1359"/>
      <c r="O24" s="1359"/>
      <c r="P24" s="1359"/>
      <c r="Q24" s="1359"/>
      <c r="R24" s="1359"/>
      <c r="S24" s="1359"/>
      <c r="T24" s="1359"/>
      <c r="U24" s="1359"/>
      <c r="V24" s="1347"/>
      <c r="W24" s="1354" t="s">
        <v>550</v>
      </c>
      <c r="X24" s="1347"/>
      <c r="Y24" s="1354" t="s">
        <v>551</v>
      </c>
      <c r="Z24" s="101"/>
      <c r="AI24" s="964"/>
    </row>
    <row r="25" spans="1:35" ht="15" x14ac:dyDescent="0.25">
      <c r="A25" s="2034" t="s">
        <v>1431</v>
      </c>
      <c r="B25" s="2035"/>
      <c r="C25" s="2035"/>
      <c r="D25" s="2035"/>
      <c r="E25" s="2035"/>
      <c r="F25" s="2035"/>
      <c r="G25" s="2035"/>
      <c r="H25" s="2035"/>
      <c r="I25" s="2035"/>
      <c r="J25" s="2035"/>
      <c r="K25" s="2035"/>
      <c r="L25" s="2035"/>
      <c r="M25" s="2035"/>
      <c r="N25" s="2035"/>
      <c r="O25" s="2035"/>
      <c r="P25" s="2035"/>
      <c r="Q25" s="2035"/>
      <c r="R25" s="2035"/>
      <c r="S25" s="2035"/>
      <c r="T25" s="2035"/>
      <c r="U25" s="2035"/>
      <c r="V25" s="1350"/>
      <c r="W25" s="1317"/>
      <c r="X25" s="1350"/>
      <c r="Y25" s="1318"/>
      <c r="Z25" s="101"/>
      <c r="AI25" s="964"/>
    </row>
    <row r="26" spans="1:35" ht="18.75" customHeight="1" x14ac:dyDescent="0.25">
      <c r="A26" s="1352" t="s">
        <v>377</v>
      </c>
      <c r="B26" s="1353"/>
      <c r="C26" s="2036"/>
      <c r="D26" s="2036"/>
      <c r="E26" s="2036"/>
      <c r="F26" s="2036"/>
      <c r="G26" s="2036"/>
      <c r="H26" s="2036"/>
      <c r="I26" s="2036"/>
      <c r="J26" s="2036"/>
      <c r="K26" s="2036"/>
      <c r="L26" s="2036"/>
      <c r="M26" s="2036"/>
      <c r="N26" s="2036"/>
      <c r="O26" s="2036"/>
      <c r="P26" s="2036"/>
      <c r="Q26" s="2036"/>
      <c r="R26" s="2036"/>
      <c r="S26" s="2036"/>
      <c r="T26" s="2036"/>
      <c r="U26" s="2036"/>
      <c r="V26" s="2036"/>
      <c r="W26" s="2036"/>
      <c r="X26" s="2036"/>
      <c r="Y26" s="2037"/>
      <c r="Z26" s="101"/>
      <c r="AI26" s="1316"/>
    </row>
    <row r="27" spans="1:35" ht="26.25" x14ac:dyDescent="0.2">
      <c r="A27" s="2038" t="s">
        <v>296</v>
      </c>
      <c r="B27" s="2039"/>
      <c r="C27" s="2039"/>
      <c r="D27" s="2039"/>
      <c r="E27" s="2039"/>
      <c r="F27" s="2039"/>
      <c r="G27" s="2039"/>
      <c r="H27" s="2039"/>
      <c r="I27" s="2039"/>
      <c r="J27" s="122"/>
      <c r="K27" s="122"/>
      <c r="L27" s="122"/>
      <c r="M27" s="122"/>
      <c r="N27" s="122"/>
      <c r="O27" s="122"/>
      <c r="P27" s="122"/>
      <c r="Q27" s="122"/>
      <c r="R27" s="122"/>
      <c r="S27" s="122"/>
      <c r="T27" s="122"/>
      <c r="U27" s="122"/>
      <c r="V27" s="2030"/>
      <c r="W27" s="2030"/>
      <c r="X27" s="2030"/>
      <c r="Y27" s="2031"/>
      <c r="Z27" s="101"/>
    </row>
    <row r="28" spans="1:35" ht="18.75" customHeight="1" x14ac:dyDescent="0.25">
      <c r="A28" s="756"/>
      <c r="B28" s="1340"/>
      <c r="C28" s="53" t="s">
        <v>1388</v>
      </c>
      <c r="D28" s="1340"/>
      <c r="E28" s="1340"/>
      <c r="G28" s="1340"/>
      <c r="H28" s="1340"/>
      <c r="I28" s="1340"/>
      <c r="J28" s="1340"/>
      <c r="K28" s="1340"/>
      <c r="L28" s="1340"/>
      <c r="M28" s="1340"/>
      <c r="N28" s="1340"/>
      <c r="O28" s="1340"/>
      <c r="P28" s="1340"/>
      <c r="Q28" s="1340"/>
      <c r="R28" s="1340"/>
      <c r="S28" s="1340"/>
      <c r="T28" s="1340"/>
      <c r="U28" s="1339"/>
      <c r="V28" s="850"/>
      <c r="W28" s="957" t="s">
        <v>550</v>
      </c>
      <c r="X28" s="850"/>
      <c r="Y28" s="957" t="s">
        <v>551</v>
      </c>
      <c r="Z28" s="958"/>
    </row>
    <row r="29" spans="1:35" ht="18.75" customHeight="1" x14ac:dyDescent="0.25">
      <c r="A29" s="756"/>
      <c r="B29" s="1340"/>
      <c r="C29" s="53" t="s">
        <v>297</v>
      </c>
      <c r="D29" s="1340"/>
      <c r="E29" s="69"/>
      <c r="G29" s="1340"/>
      <c r="H29" s="1340"/>
      <c r="I29" s="1340"/>
      <c r="J29" s="1340"/>
      <c r="K29" s="1340"/>
      <c r="L29" s="1340"/>
      <c r="M29" s="1340"/>
      <c r="N29" s="1340"/>
      <c r="O29" s="1340"/>
      <c r="P29" s="1340"/>
      <c r="Q29" s="1340"/>
      <c r="R29" s="1340"/>
      <c r="S29" s="1340"/>
      <c r="T29" s="1340"/>
      <c r="U29" s="1339"/>
      <c r="V29" s="850"/>
      <c r="W29" s="957" t="s">
        <v>550</v>
      </c>
      <c r="X29" s="850"/>
      <c r="Y29" s="957" t="s">
        <v>551</v>
      </c>
      <c r="Z29" s="958"/>
    </row>
    <row r="30" spans="1:35" ht="18.75" customHeight="1" x14ac:dyDescent="0.25">
      <c r="A30" s="756"/>
      <c r="B30" s="1355"/>
      <c r="C30" s="1003" t="s">
        <v>298</v>
      </c>
      <c r="D30" s="1355"/>
      <c r="E30" s="1355"/>
      <c r="G30" s="1355"/>
      <c r="H30" s="1355"/>
      <c r="I30" s="1355"/>
      <c r="J30" s="1355"/>
      <c r="K30" s="1355"/>
      <c r="L30" s="1355"/>
      <c r="M30" s="1355"/>
      <c r="N30" s="1355"/>
      <c r="O30" s="1355"/>
      <c r="P30" s="1355"/>
      <c r="Q30" s="1355"/>
      <c r="R30" s="1355"/>
      <c r="S30" s="1355"/>
      <c r="T30" s="1355"/>
      <c r="U30" s="1356"/>
      <c r="V30" s="850"/>
      <c r="W30" s="957" t="s">
        <v>550</v>
      </c>
      <c r="X30" s="850"/>
      <c r="Y30" s="957" t="s">
        <v>551</v>
      </c>
      <c r="Z30" s="958"/>
    </row>
    <row r="31" spans="1:35" ht="18.75" customHeight="1" x14ac:dyDescent="0.25">
      <c r="A31" s="756"/>
      <c r="B31" s="1340"/>
      <c r="C31" s="53" t="s">
        <v>1389</v>
      </c>
      <c r="D31" s="1340"/>
      <c r="E31" s="1340"/>
      <c r="G31" s="1340"/>
      <c r="H31" s="1340"/>
      <c r="I31" s="1340"/>
      <c r="J31" s="1340"/>
      <c r="K31" s="1340"/>
      <c r="L31" s="1340"/>
      <c r="M31" s="1340"/>
      <c r="N31" s="1340"/>
      <c r="O31" s="1340"/>
      <c r="P31" s="1340"/>
      <c r="Q31" s="1340"/>
      <c r="R31" s="1340"/>
      <c r="S31" s="1340"/>
      <c r="T31" s="1340"/>
      <c r="U31" s="1339"/>
      <c r="V31" s="850"/>
      <c r="W31" s="957" t="s">
        <v>550</v>
      </c>
      <c r="X31" s="850"/>
      <c r="Y31" s="957" t="s">
        <v>551</v>
      </c>
      <c r="Z31" s="958"/>
    </row>
    <row r="32" spans="1:35" ht="18.75" customHeight="1" x14ac:dyDescent="0.25">
      <c r="A32" s="756"/>
      <c r="B32" s="1355"/>
      <c r="C32" s="1364" t="s">
        <v>299</v>
      </c>
      <c r="D32" s="1319"/>
      <c r="E32" s="1319"/>
      <c r="F32" s="620"/>
      <c r="G32" s="1319"/>
      <c r="H32" s="1319"/>
      <c r="I32" s="1319"/>
      <c r="J32" s="1319"/>
      <c r="K32" s="1319"/>
      <c r="L32" s="1319"/>
      <c r="M32" s="1319"/>
      <c r="N32" s="1319"/>
      <c r="O32" s="1319"/>
      <c r="P32" s="1319"/>
      <c r="Q32" s="1319"/>
      <c r="R32" s="1319"/>
      <c r="S32" s="1319"/>
      <c r="T32" s="1319"/>
      <c r="U32" s="1320"/>
      <c r="V32" s="1347"/>
      <c r="W32" s="1354" t="s">
        <v>550</v>
      </c>
      <c r="X32" s="1347"/>
      <c r="Y32" s="1354" t="s">
        <v>551</v>
      </c>
      <c r="Z32" s="958"/>
    </row>
    <row r="33" spans="1:26" ht="18.75" customHeight="1" x14ac:dyDescent="0.25">
      <c r="A33" s="1352" t="s">
        <v>377</v>
      </c>
      <c r="B33" s="1353"/>
      <c r="C33" s="2036"/>
      <c r="D33" s="2036"/>
      <c r="E33" s="2036"/>
      <c r="F33" s="2036"/>
      <c r="G33" s="2036"/>
      <c r="H33" s="2036"/>
      <c r="I33" s="2036"/>
      <c r="J33" s="2036"/>
      <c r="K33" s="2036"/>
      <c r="L33" s="2036"/>
      <c r="M33" s="2036"/>
      <c r="N33" s="2036"/>
      <c r="O33" s="2036"/>
      <c r="P33" s="2036"/>
      <c r="Q33" s="2036"/>
      <c r="R33" s="2036"/>
      <c r="S33" s="2036"/>
      <c r="T33" s="2036"/>
      <c r="U33" s="2036"/>
      <c r="V33" s="2036"/>
      <c r="W33" s="2036"/>
      <c r="X33" s="2036"/>
      <c r="Y33" s="2037"/>
      <c r="Z33" s="101"/>
    </row>
    <row r="34" spans="1:26" ht="26.25" x14ac:dyDescent="0.25">
      <c r="A34" s="2038" t="s">
        <v>300</v>
      </c>
      <c r="B34" s="2039"/>
      <c r="C34" s="2039"/>
      <c r="D34" s="2039"/>
      <c r="E34" s="2039"/>
      <c r="F34" s="2039"/>
      <c r="G34" s="2039"/>
      <c r="H34" s="2039"/>
      <c r="I34" s="2039"/>
      <c r="J34" s="2039"/>
      <c r="K34" s="2039"/>
      <c r="L34" s="2039"/>
      <c r="M34" s="2039"/>
      <c r="N34" s="2039"/>
      <c r="O34" s="2039"/>
      <c r="P34" s="2039"/>
      <c r="Q34" s="2039"/>
      <c r="R34" s="2039"/>
      <c r="S34" s="2039"/>
      <c r="T34" s="2039"/>
      <c r="U34" s="2039"/>
      <c r="V34" s="961"/>
      <c r="W34" s="961"/>
      <c r="X34" s="961"/>
      <c r="Y34" s="849"/>
      <c r="Z34" s="101"/>
    </row>
    <row r="35" spans="1:26" ht="18.75" customHeight="1" x14ac:dyDescent="0.25">
      <c r="A35" s="1368"/>
      <c r="B35" s="53"/>
      <c r="C35" s="53" t="s">
        <v>301</v>
      </c>
      <c r="D35" s="53"/>
      <c r="E35" s="53"/>
      <c r="F35" s="53"/>
      <c r="G35" s="53"/>
      <c r="H35" s="53"/>
      <c r="I35" s="53"/>
      <c r="J35" s="53"/>
      <c r="K35" s="53"/>
      <c r="L35" s="53"/>
      <c r="M35" s="53"/>
      <c r="N35" s="53"/>
      <c r="O35" s="53"/>
      <c r="P35" s="53"/>
      <c r="Q35" s="53"/>
      <c r="R35" s="53"/>
      <c r="S35" s="53"/>
      <c r="T35" s="53"/>
      <c r="U35" s="1031"/>
      <c r="V35" s="850"/>
      <c r="W35" s="957" t="s">
        <v>550</v>
      </c>
      <c r="X35" s="850"/>
      <c r="Y35" s="957" t="s">
        <v>551</v>
      </c>
      <c r="Z35" s="101"/>
    </row>
    <row r="36" spans="1:26" ht="18.75" customHeight="1" x14ac:dyDescent="0.25">
      <c r="A36" s="1368"/>
      <c r="B36" s="53"/>
      <c r="C36" s="53" t="s">
        <v>302</v>
      </c>
      <c r="D36" s="53"/>
      <c r="E36" s="53"/>
      <c r="F36" s="53"/>
      <c r="G36" s="53"/>
      <c r="H36" s="53"/>
      <c r="I36" s="53"/>
      <c r="J36" s="53"/>
      <c r="K36" s="53"/>
      <c r="L36" s="53"/>
      <c r="M36" s="53"/>
      <c r="N36" s="53"/>
      <c r="O36" s="53"/>
      <c r="P36" s="53"/>
      <c r="Q36" s="53"/>
      <c r="R36" s="53"/>
      <c r="S36" s="53"/>
      <c r="T36" s="53"/>
      <c r="U36" s="1031"/>
      <c r="V36" s="850"/>
      <c r="W36" s="957" t="s">
        <v>550</v>
      </c>
      <c r="X36" s="850"/>
      <c r="Y36" s="957" t="s">
        <v>551</v>
      </c>
    </row>
    <row r="37" spans="1:26" ht="18.75" customHeight="1" x14ac:dyDescent="0.25">
      <c r="A37" s="1368"/>
      <c r="B37" s="53"/>
      <c r="C37" s="53" t="s">
        <v>303</v>
      </c>
      <c r="D37" s="53"/>
      <c r="E37" s="53"/>
      <c r="F37" s="53"/>
      <c r="G37" s="53"/>
      <c r="H37" s="53"/>
      <c r="I37" s="53"/>
      <c r="J37" s="53"/>
      <c r="K37" s="53"/>
      <c r="L37" s="53"/>
      <c r="M37" s="53"/>
      <c r="N37" s="53"/>
      <c r="O37" s="53"/>
      <c r="P37" s="53"/>
      <c r="Q37" s="53"/>
      <c r="R37" s="53"/>
      <c r="S37" s="53"/>
      <c r="T37" s="53"/>
      <c r="U37" s="1031"/>
      <c r="V37" s="850"/>
      <c r="W37" s="957" t="s">
        <v>550</v>
      </c>
      <c r="X37" s="850"/>
      <c r="Y37" s="957" t="s">
        <v>551</v>
      </c>
    </row>
    <row r="38" spans="1:26" ht="18.75" customHeight="1" x14ac:dyDescent="0.25">
      <c r="A38" s="1368"/>
      <c r="B38" s="1003"/>
      <c r="C38" s="1003" t="s">
        <v>305</v>
      </c>
      <c r="D38" s="1003"/>
      <c r="E38" s="1003"/>
      <c r="F38" s="1003"/>
      <c r="G38" s="1003"/>
      <c r="H38" s="1003"/>
      <c r="I38" s="1003"/>
      <c r="J38" s="1003"/>
      <c r="K38" s="1003"/>
      <c r="L38" s="1003"/>
      <c r="M38" s="1003"/>
      <c r="N38" s="1003"/>
      <c r="O38" s="1003"/>
      <c r="P38" s="1003"/>
      <c r="Q38" s="1003"/>
      <c r="R38" s="1003"/>
      <c r="S38" s="1003"/>
      <c r="T38" s="1003"/>
      <c r="U38" s="1363"/>
      <c r="V38" s="850"/>
      <c r="W38" s="957" t="s">
        <v>550</v>
      </c>
      <c r="X38" s="850"/>
      <c r="Y38" s="957" t="s">
        <v>551</v>
      </c>
    </row>
    <row r="39" spans="1:26" ht="18.75" customHeight="1" x14ac:dyDescent="0.25">
      <c r="A39" s="1368"/>
      <c r="B39" s="53"/>
      <c r="C39" s="53" t="s">
        <v>304</v>
      </c>
      <c r="D39" s="53"/>
      <c r="E39" s="53"/>
      <c r="F39" s="1364"/>
      <c r="G39" s="1364"/>
      <c r="H39" s="1364"/>
      <c r="I39" s="1364"/>
      <c r="J39" s="1364"/>
      <c r="K39" s="1364"/>
      <c r="L39" s="1364"/>
      <c r="M39" s="1364"/>
      <c r="N39" s="1364"/>
      <c r="O39" s="1364"/>
      <c r="P39" s="1364"/>
      <c r="Q39" s="1364"/>
      <c r="R39" s="1364"/>
      <c r="S39" s="1364"/>
      <c r="T39" s="1364"/>
      <c r="U39" s="1364"/>
      <c r="V39" s="960"/>
      <c r="W39" s="959"/>
      <c r="X39" s="960"/>
      <c r="Y39" s="962"/>
    </row>
    <row r="40" spans="1:26" ht="18.75" customHeight="1" x14ac:dyDescent="0.25">
      <c r="A40" s="963"/>
      <c r="B40" s="2032"/>
      <c r="C40" s="2032"/>
      <c r="D40" s="2032"/>
      <c r="E40" s="2032"/>
      <c r="F40" s="2032"/>
      <c r="G40" s="2032"/>
      <c r="H40" s="2032"/>
      <c r="I40" s="2032"/>
      <c r="J40" s="2032"/>
      <c r="K40" s="2032"/>
      <c r="L40" s="2032"/>
      <c r="M40" s="2032"/>
      <c r="N40" s="2032"/>
      <c r="O40" s="2032"/>
      <c r="P40" s="2032"/>
      <c r="Q40" s="2032"/>
      <c r="R40" s="2032"/>
      <c r="S40" s="2032"/>
      <c r="T40" s="2032"/>
      <c r="U40" s="2032"/>
      <c r="V40" s="2032"/>
      <c r="W40" s="2032"/>
      <c r="X40" s="2032"/>
      <c r="Y40" s="2033"/>
    </row>
    <row r="41" spans="1:26" ht="18.75" customHeight="1" x14ac:dyDescent="0.25">
      <c r="A41" s="1352" t="s">
        <v>377</v>
      </c>
      <c r="B41" s="1353"/>
      <c r="C41" s="2036"/>
      <c r="D41" s="2036"/>
      <c r="E41" s="2036"/>
      <c r="F41" s="2036"/>
      <c r="G41" s="2036"/>
      <c r="H41" s="2036"/>
      <c r="I41" s="2036"/>
      <c r="J41" s="2036"/>
      <c r="K41" s="2036"/>
      <c r="L41" s="2036"/>
      <c r="M41" s="2036"/>
      <c r="N41" s="2036"/>
      <c r="O41" s="2036"/>
      <c r="P41" s="2036"/>
      <c r="Q41" s="2036"/>
      <c r="R41" s="2036"/>
      <c r="S41" s="2036"/>
      <c r="T41" s="2036"/>
      <c r="U41" s="2036"/>
      <c r="V41" s="2036"/>
      <c r="W41" s="2036"/>
      <c r="X41" s="2036"/>
      <c r="Y41" s="2037"/>
    </row>
    <row r="42" spans="1:26" ht="18.75" customHeight="1" x14ac:dyDescent="0.25">
      <c r="A42" s="955"/>
      <c r="B42" s="955"/>
      <c r="C42" s="210"/>
      <c r="D42" s="210"/>
      <c r="E42" s="210"/>
      <c r="F42" s="210"/>
      <c r="G42" s="210"/>
      <c r="H42" s="210"/>
      <c r="I42" s="210"/>
      <c r="J42" s="210"/>
      <c r="K42" s="210"/>
      <c r="L42" s="210"/>
      <c r="M42" s="210"/>
      <c r="N42" s="210"/>
      <c r="O42" s="210"/>
      <c r="P42" s="210"/>
      <c r="Q42" s="214"/>
      <c r="R42" s="210"/>
      <c r="S42" s="210"/>
      <c r="T42" s="210"/>
      <c r="U42" s="210"/>
      <c r="V42" s="210"/>
      <c r="W42" s="210"/>
      <c r="X42" s="210"/>
      <c r="Y42" s="210"/>
    </row>
  </sheetData>
  <mergeCells count="28">
    <mergeCell ref="C41:Y41"/>
    <mergeCell ref="A6:U6"/>
    <mergeCell ref="A1:O1"/>
    <mergeCell ref="P1:Q1"/>
    <mergeCell ref="B3:F3"/>
    <mergeCell ref="H3:R3"/>
    <mergeCell ref="S3:T3"/>
    <mergeCell ref="U3:Y3"/>
    <mergeCell ref="A2:Y2"/>
    <mergeCell ref="B4:X4"/>
    <mergeCell ref="V6:Y6"/>
    <mergeCell ref="A34:U34"/>
    <mergeCell ref="C11:Y11"/>
    <mergeCell ref="C15:Y15"/>
    <mergeCell ref="A12:I12"/>
    <mergeCell ref="V12:Y12"/>
    <mergeCell ref="V16:Y16"/>
    <mergeCell ref="V21:Y21"/>
    <mergeCell ref="V27:Y27"/>
    <mergeCell ref="B40:Y40"/>
    <mergeCell ref="A25:U25"/>
    <mergeCell ref="C26:Y26"/>
    <mergeCell ref="C33:Y33"/>
    <mergeCell ref="A16:I16"/>
    <mergeCell ref="A27:I27"/>
    <mergeCell ref="C20:Y20"/>
    <mergeCell ref="A21:I21"/>
    <mergeCell ref="A19:Y19"/>
  </mergeCells>
  <conditionalFormatting sqref="V25 V22:V23">
    <cfRule type="iconSet" priority="30">
      <iconSet iconSet="3Symbols2" showValue="0">
        <cfvo type="percent" val="0"/>
        <cfvo type="num" val="0.5"/>
        <cfvo type="num" val="1"/>
      </iconSet>
    </cfRule>
  </conditionalFormatting>
  <conditionalFormatting sqref="X25 X22:X23">
    <cfRule type="iconSet" priority="29">
      <iconSet iconSet="3Symbols2" showValue="0">
        <cfvo type="percent" val="0"/>
        <cfvo type="num" val="0.5"/>
        <cfvo type="num" val="1"/>
      </iconSet>
    </cfRule>
  </conditionalFormatting>
  <conditionalFormatting sqref="V35:V38">
    <cfRule type="iconSet" priority="28">
      <iconSet iconSet="3Symbols2" showValue="0">
        <cfvo type="percent" val="0"/>
        <cfvo type="num" val="0.5"/>
        <cfvo type="num" val="1"/>
      </iconSet>
    </cfRule>
  </conditionalFormatting>
  <conditionalFormatting sqref="X35:X38">
    <cfRule type="iconSet" priority="27">
      <iconSet iconSet="3Symbols2" showValue="0">
        <cfvo type="percent" val="0"/>
        <cfvo type="num" val="0.5"/>
        <cfvo type="num" val="1"/>
      </iconSet>
    </cfRule>
  </conditionalFormatting>
  <conditionalFormatting sqref="V7:V10">
    <cfRule type="iconSet" priority="26">
      <iconSet iconSet="3Symbols2" showValue="0">
        <cfvo type="percent" val="0"/>
        <cfvo type="num" val="0.5"/>
        <cfvo type="num" val="1"/>
      </iconSet>
    </cfRule>
  </conditionalFormatting>
  <conditionalFormatting sqref="X7:X10">
    <cfRule type="iconSet" priority="25">
      <iconSet iconSet="3Symbols2" showValue="0">
        <cfvo type="percent" val="0"/>
        <cfvo type="num" val="0.5"/>
        <cfvo type="num" val="1"/>
      </iconSet>
    </cfRule>
  </conditionalFormatting>
  <conditionalFormatting sqref="V13">
    <cfRule type="iconSet" priority="24">
      <iconSet iconSet="3Symbols2" showValue="0">
        <cfvo type="percent" val="0"/>
        <cfvo type="num" val="0.5"/>
        <cfvo type="num" val="1"/>
      </iconSet>
    </cfRule>
  </conditionalFormatting>
  <conditionalFormatting sqref="X13">
    <cfRule type="iconSet" priority="23">
      <iconSet iconSet="3Symbols2" showValue="0">
        <cfvo type="percent" val="0"/>
        <cfvo type="num" val="0.5"/>
        <cfvo type="num" val="1"/>
      </iconSet>
    </cfRule>
  </conditionalFormatting>
  <conditionalFormatting sqref="V17">
    <cfRule type="iconSet" priority="22">
      <iconSet iconSet="3Symbols2" showValue="0">
        <cfvo type="percent" val="0"/>
        <cfvo type="num" val="0.5"/>
        <cfvo type="num" val="1"/>
      </iconSet>
    </cfRule>
  </conditionalFormatting>
  <conditionalFormatting sqref="X17">
    <cfRule type="iconSet" priority="21">
      <iconSet iconSet="3Symbols2" showValue="0">
        <cfvo type="percent" val="0"/>
        <cfvo type="num" val="0.5"/>
        <cfvo type="num" val="1"/>
      </iconSet>
    </cfRule>
  </conditionalFormatting>
  <conditionalFormatting sqref="A10:A11">
    <cfRule type="iconSet" priority="12">
      <iconSet iconSet="3Symbols2" showValue="0">
        <cfvo type="percent" val="0"/>
        <cfvo type="num" val="0.5"/>
        <cfvo type="num" val="1"/>
      </iconSet>
    </cfRule>
  </conditionalFormatting>
  <conditionalFormatting sqref="V14">
    <cfRule type="iconSet" priority="11">
      <iconSet iconSet="3Symbols2" showValue="0">
        <cfvo type="percent" val="0"/>
        <cfvo type="num" val="0.5"/>
        <cfvo type="num" val="1"/>
      </iconSet>
    </cfRule>
  </conditionalFormatting>
  <conditionalFormatting sqref="X14">
    <cfRule type="iconSet" priority="10">
      <iconSet iconSet="3Symbols2" showValue="0">
        <cfvo type="percent" val="0"/>
        <cfvo type="num" val="0.5"/>
        <cfvo type="num" val="1"/>
      </iconSet>
    </cfRule>
  </conditionalFormatting>
  <conditionalFormatting sqref="V18">
    <cfRule type="iconSet" priority="9">
      <iconSet iconSet="3Symbols2" showValue="0">
        <cfvo type="percent" val="0"/>
        <cfvo type="num" val="0.5"/>
        <cfvo type="num" val="1"/>
      </iconSet>
    </cfRule>
  </conditionalFormatting>
  <conditionalFormatting sqref="X18">
    <cfRule type="iconSet" priority="8">
      <iconSet iconSet="3Symbols2" showValue="0">
        <cfvo type="percent" val="0"/>
        <cfvo type="num" val="0.5"/>
        <cfvo type="num" val="1"/>
      </iconSet>
    </cfRule>
  </conditionalFormatting>
  <conditionalFormatting sqref="V24">
    <cfRule type="iconSet" priority="7">
      <iconSet iconSet="3Symbols2" showValue="0">
        <cfvo type="percent" val="0"/>
        <cfvo type="num" val="0.5"/>
        <cfvo type="num" val="1"/>
      </iconSet>
    </cfRule>
  </conditionalFormatting>
  <conditionalFormatting sqref="X24">
    <cfRule type="iconSet" priority="6">
      <iconSet iconSet="3Symbols2" showValue="0">
        <cfvo type="percent" val="0"/>
        <cfvo type="num" val="0.5"/>
        <cfvo type="num" val="1"/>
      </iconSet>
    </cfRule>
  </conditionalFormatting>
  <conditionalFormatting sqref="A15">
    <cfRule type="iconSet" priority="5">
      <iconSet iconSet="3Symbols2" showValue="0">
        <cfvo type="percent" val="0"/>
        <cfvo type="num" val="0.5"/>
        <cfvo type="num" val="1"/>
      </iconSet>
    </cfRule>
  </conditionalFormatting>
  <conditionalFormatting sqref="A20">
    <cfRule type="iconSet" priority="4">
      <iconSet iconSet="3Symbols2" showValue="0">
        <cfvo type="percent" val="0"/>
        <cfvo type="num" val="0.5"/>
        <cfvo type="num" val="1"/>
      </iconSet>
    </cfRule>
  </conditionalFormatting>
  <conditionalFormatting sqref="A26">
    <cfRule type="iconSet" priority="3">
      <iconSet iconSet="3Symbols2" showValue="0">
        <cfvo type="percent" val="0"/>
        <cfvo type="num" val="0.5"/>
        <cfvo type="num" val="1"/>
      </iconSet>
    </cfRule>
  </conditionalFormatting>
  <conditionalFormatting sqref="A33">
    <cfRule type="iconSet" priority="2">
      <iconSet iconSet="3Symbols2" showValue="0">
        <cfvo type="percent" val="0"/>
        <cfvo type="num" val="0.5"/>
        <cfvo type="num" val="1"/>
      </iconSet>
    </cfRule>
  </conditionalFormatting>
  <conditionalFormatting sqref="A41">
    <cfRule type="iconSet" priority="1">
      <iconSet iconSet="3Symbols2" showValue="0">
        <cfvo type="percent" val="0"/>
        <cfvo type="num" val="0.5"/>
        <cfvo type="num" val="1"/>
      </iconSet>
    </cfRule>
  </conditionalFormatting>
  <conditionalFormatting sqref="V28:V32">
    <cfRule type="iconSet" priority="668">
      <iconSet iconSet="3Symbols2" showValue="0">
        <cfvo type="percent" val="0"/>
        <cfvo type="num" val="0.5"/>
        <cfvo type="num" val="1"/>
      </iconSet>
    </cfRule>
  </conditionalFormatting>
  <conditionalFormatting sqref="X28:X32">
    <cfRule type="iconSet" priority="670">
      <iconSet iconSet="3Symbols2" showValue="0">
        <cfvo type="percent" val="0"/>
        <cfvo type="num" val="0.5"/>
        <cfvo type="num" val="1"/>
      </iconSet>
    </cfRule>
  </conditionalFormatting>
  <hyperlinks>
    <hyperlink ref="AA17" r:id="rId1"/>
  </hyperlinks>
  <printOptions horizontalCentered="1"/>
  <pageMargins left="0.23622047244094491" right="0.23622047244094491" top="0.74803149606299213" bottom="0.74803149606299213" header="0.31496062992125984" footer="0.31496062992125984"/>
  <pageSetup paperSize="9" scale="90" orientation="portrait" r:id="rId2"/>
  <headerFooter>
    <oddHeader>&amp;C&amp;G</oddHeader>
    <oddFooter>&amp;R&amp;G</oddFoot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31"/>
  <sheetViews>
    <sheetView showGridLines="0" showRuler="0" zoomScaleNormal="100" workbookViewId="0">
      <selection sqref="A1:AA31"/>
    </sheetView>
  </sheetViews>
  <sheetFormatPr defaultColWidth="3.5703125" defaultRowHeight="18.75" customHeight="1" x14ac:dyDescent="0.25"/>
  <cols>
    <col min="1" max="10" width="3.5703125" style="106"/>
    <col min="11" max="11" width="3.5703125" style="106" customWidth="1"/>
    <col min="12" max="15" width="3.5703125" style="106"/>
    <col min="16" max="16" width="3.5703125" style="112"/>
    <col min="17" max="25" width="3.5703125" style="106"/>
    <col min="26" max="26" width="3.5703125" style="106" customWidth="1"/>
    <col min="27" max="27" width="3.5703125" style="1454" customWidth="1"/>
    <col min="28" max="28" width="3.5703125" style="107" customWidth="1"/>
    <col min="29" max="36" width="3.5703125" style="94" customWidth="1"/>
    <col min="37" max="37" width="40.28515625" style="94" customWidth="1"/>
    <col min="38" max="72" width="3.5703125" style="94" customWidth="1"/>
    <col min="73" max="73" width="30.85546875" style="94" customWidth="1"/>
    <col min="74" max="76" width="6.140625" style="94" customWidth="1"/>
    <col min="77" max="77" width="5.28515625" style="94" customWidth="1"/>
    <col min="78" max="78" width="8.5703125" style="94" customWidth="1"/>
    <col min="79" max="79" width="13.28515625" style="94" customWidth="1"/>
    <col min="80" max="80" width="3.5703125" style="94"/>
    <col min="81" max="81" width="6.140625" style="94" customWidth="1"/>
    <col min="82" max="82" width="12.28515625" style="94" customWidth="1"/>
    <col min="83" max="86" width="3.5703125" style="94"/>
    <col min="87" max="93" width="3.5703125" style="129"/>
    <col min="94" max="94" width="8.5703125" style="129" customWidth="1"/>
    <col min="95" max="95" width="13.5703125" style="129" customWidth="1"/>
    <col min="96" max="105" width="3.5703125" style="129"/>
    <col min="106" max="16384" width="3.5703125" style="21"/>
  </cols>
  <sheetData>
    <row r="1" spans="1:105" ht="48" customHeight="1" x14ac:dyDescent="0.25">
      <c r="A1" s="2060" t="s">
        <v>1433</v>
      </c>
      <c r="B1" s="2060"/>
      <c r="C1" s="2060"/>
      <c r="D1" s="2060"/>
      <c r="E1" s="2060"/>
      <c r="F1" s="2060"/>
      <c r="G1" s="2060"/>
      <c r="H1" s="2060"/>
      <c r="I1" s="2060"/>
      <c r="J1" s="2060"/>
      <c r="K1" s="2060"/>
      <c r="L1" s="2060"/>
      <c r="M1" s="2060"/>
      <c r="N1" s="2060"/>
      <c r="O1" s="2060"/>
      <c r="P1" s="2060"/>
      <c r="Q1" s="2060"/>
      <c r="R1" s="2060"/>
      <c r="S1" s="2060"/>
      <c r="T1" s="2060"/>
      <c r="AB1" s="504"/>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row>
    <row r="2" spans="1:105" s="27" customFormat="1" ht="6"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504"/>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53"/>
      <c r="CJ2" s="153"/>
      <c r="CK2" s="153"/>
      <c r="CL2" s="153"/>
      <c r="CM2" s="153"/>
      <c r="CN2" s="153"/>
      <c r="CO2" s="153"/>
      <c r="CP2" s="153"/>
      <c r="CQ2" s="153"/>
      <c r="CR2" s="153"/>
      <c r="CS2" s="153"/>
      <c r="CT2" s="153"/>
      <c r="CU2" s="153"/>
      <c r="CV2" s="153"/>
      <c r="CW2" s="153"/>
      <c r="CX2" s="153"/>
      <c r="CY2" s="153"/>
      <c r="CZ2" s="153"/>
      <c r="DA2" s="153"/>
    </row>
    <row r="3" spans="1:105" s="192" customFormat="1" ht="12.75" x14ac:dyDescent="0.25">
      <c r="A3" s="1379"/>
      <c r="B3" s="1724" t="s">
        <v>669</v>
      </c>
      <c r="C3" s="1724"/>
      <c r="D3" s="1724"/>
      <c r="E3" s="1724"/>
      <c r="F3" s="1724"/>
      <c r="G3" s="1378"/>
      <c r="H3" s="687"/>
      <c r="I3" s="1726" t="str">
        <f>+Profile!BE8</f>
        <v xml:space="preserve"> </v>
      </c>
      <c r="J3" s="1726"/>
      <c r="K3" s="1726"/>
      <c r="L3" s="1726"/>
      <c r="M3" s="1726"/>
      <c r="N3" s="1726"/>
      <c r="O3" s="1726"/>
      <c r="P3" s="1726"/>
      <c r="Q3" s="1726"/>
      <c r="R3" s="1726"/>
      <c r="S3" s="1724"/>
      <c r="T3" s="1724"/>
      <c r="U3" s="1724"/>
      <c r="V3" s="1727"/>
      <c r="W3" s="1727"/>
      <c r="X3" s="1727"/>
      <c r="Y3" s="1727"/>
      <c r="Z3" s="1727"/>
      <c r="AA3" s="1727"/>
      <c r="AB3" s="504"/>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90"/>
      <c r="BW3" s="190"/>
      <c r="BX3" s="190"/>
      <c r="BY3" s="190"/>
      <c r="BZ3" s="190"/>
      <c r="CA3" s="190"/>
      <c r="CB3" s="190"/>
      <c r="CC3" s="190"/>
      <c r="CD3" s="190"/>
      <c r="CE3" s="190"/>
      <c r="CF3" s="190"/>
      <c r="CG3" s="190"/>
      <c r="CH3" s="190"/>
      <c r="CI3" s="191"/>
      <c r="CJ3" s="191"/>
      <c r="CK3" s="191"/>
      <c r="CL3" s="191"/>
      <c r="CM3" s="191"/>
      <c r="CN3" s="191"/>
      <c r="CO3" s="191"/>
      <c r="CP3" s="191"/>
      <c r="CQ3" s="191"/>
      <c r="CR3" s="191"/>
      <c r="CS3" s="191"/>
      <c r="CT3" s="191"/>
      <c r="CU3" s="191"/>
      <c r="CV3" s="191"/>
      <c r="CW3" s="191"/>
      <c r="CX3" s="191"/>
      <c r="CY3" s="191"/>
      <c r="CZ3" s="191"/>
      <c r="DA3" s="191"/>
    </row>
    <row r="4" spans="1:105" ht="6" customHeight="1" x14ac:dyDescent="0.25">
      <c r="A4" s="689"/>
      <c r="B4" s="1722"/>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689"/>
      <c r="BU4" s="229"/>
      <c r="BV4" s="229"/>
      <c r="BW4" s="229"/>
      <c r="BX4" s="229"/>
      <c r="BY4" s="229"/>
      <c r="BZ4" s="229"/>
      <c r="CA4" s="229"/>
      <c r="CB4" s="229"/>
      <c r="CC4" s="229"/>
      <c r="CD4" s="229"/>
      <c r="CE4" s="229"/>
      <c r="CF4" s="229"/>
      <c r="CG4" s="229"/>
    </row>
    <row r="5" spans="1:105" ht="6" customHeight="1" x14ac:dyDescent="0.25"/>
    <row r="6" spans="1:105" ht="26.25" x14ac:dyDescent="0.25">
      <c r="A6" s="2057" t="s">
        <v>1330</v>
      </c>
      <c r="B6" s="2057"/>
      <c r="C6" s="2057"/>
      <c r="D6" s="2057"/>
      <c r="E6" s="2057"/>
      <c r="F6" s="2057"/>
      <c r="G6" s="2057"/>
      <c r="H6" s="2057"/>
      <c r="I6" s="2057"/>
      <c r="J6" s="2057"/>
      <c r="K6" s="2057"/>
      <c r="L6" s="2057"/>
      <c r="M6" s="2057"/>
      <c r="N6" s="1455"/>
      <c r="O6" s="1455"/>
      <c r="P6" s="1455"/>
      <c r="Q6" s="1455"/>
      <c r="R6" s="1457"/>
      <c r="S6" s="1457"/>
      <c r="T6" s="1458"/>
      <c r="U6" s="1458"/>
      <c r="V6" s="1458"/>
      <c r="W6" s="1458"/>
      <c r="X6" s="1458"/>
      <c r="Y6" s="1458"/>
      <c r="Z6" s="1458"/>
      <c r="AA6" s="1458"/>
    </row>
    <row r="7" spans="1:105" ht="18" customHeight="1" x14ac:dyDescent="0.25">
      <c r="A7" s="2049" t="s">
        <v>1145</v>
      </c>
      <c r="B7" s="2049"/>
      <c r="C7" s="2049"/>
      <c r="D7" s="2050"/>
      <c r="E7" s="2051"/>
      <c r="F7" s="2052"/>
      <c r="G7" s="2052"/>
      <c r="H7" s="2052"/>
      <c r="I7" s="2052"/>
      <c r="J7" s="2052"/>
      <c r="K7" s="2052"/>
      <c r="L7" s="2052"/>
      <c r="M7" s="2053"/>
      <c r="N7" s="1456"/>
      <c r="O7" s="2041" t="s">
        <v>3</v>
      </c>
      <c r="P7" s="2041"/>
      <c r="Q7" s="2041"/>
      <c r="R7" s="2042"/>
      <c r="S7" s="2054"/>
      <c r="T7" s="2055"/>
      <c r="U7" s="2055"/>
      <c r="V7" s="2055"/>
      <c r="W7" s="2055"/>
      <c r="X7" s="2055"/>
      <c r="Y7" s="2055"/>
      <c r="Z7" s="2055"/>
      <c r="AA7" s="2056"/>
    </row>
    <row r="8" spans="1:105" ht="18" customHeight="1" x14ac:dyDescent="0.25">
      <c r="A8" s="2049" t="s">
        <v>1330</v>
      </c>
      <c r="B8" s="2049"/>
      <c r="C8" s="2049"/>
      <c r="D8" s="2050"/>
      <c r="E8" s="2051"/>
      <c r="F8" s="2052"/>
      <c r="G8" s="2052"/>
      <c r="H8" s="2052"/>
      <c r="I8" s="2052"/>
      <c r="J8" s="2052"/>
      <c r="K8" s="2052"/>
      <c r="L8" s="2052"/>
      <c r="M8" s="2053"/>
      <c r="N8" s="1456"/>
      <c r="O8" s="2041" t="s">
        <v>216</v>
      </c>
      <c r="P8" s="2041"/>
      <c r="Q8" s="2041"/>
      <c r="R8" s="2042"/>
      <c r="S8" s="2054"/>
      <c r="T8" s="2055"/>
      <c r="U8" s="2055"/>
      <c r="V8" s="2055"/>
      <c r="W8" s="2055"/>
      <c r="X8" s="2055"/>
      <c r="Y8" s="2055"/>
      <c r="Z8" s="2055"/>
      <c r="AA8" s="2056"/>
    </row>
    <row r="9" spans="1:105" ht="18" customHeight="1" x14ac:dyDescent="0.25">
      <c r="A9" s="2049" t="s">
        <v>215</v>
      </c>
      <c r="B9" s="2049"/>
      <c r="C9" s="2049"/>
      <c r="D9" s="2050"/>
      <c r="E9" s="2051"/>
      <c r="F9" s="2052"/>
      <c r="G9" s="2052"/>
      <c r="H9" s="2052"/>
      <c r="I9" s="2052"/>
      <c r="J9" s="2052"/>
      <c r="K9" s="2052"/>
      <c r="L9" s="2052"/>
      <c r="M9" s="2053"/>
      <c r="N9" s="1456"/>
      <c r="O9" s="2041" t="s">
        <v>193</v>
      </c>
      <c r="P9" s="2041"/>
      <c r="Q9" s="2041"/>
      <c r="R9" s="2042"/>
      <c r="S9" s="2046"/>
      <c r="T9" s="2047"/>
      <c r="U9" s="2047"/>
      <c r="V9" s="2047"/>
      <c r="W9" s="2047"/>
      <c r="X9" s="2047"/>
      <c r="Y9" s="2047"/>
      <c r="Z9" s="2047"/>
      <c r="AA9" s="2048"/>
    </row>
    <row r="10" spans="1:105" ht="18" customHeight="1" x14ac:dyDescent="0.25">
      <c r="A10" s="2049" t="s">
        <v>1434</v>
      </c>
      <c r="B10" s="2049"/>
      <c r="C10" s="2049"/>
      <c r="D10" s="2050"/>
      <c r="E10" s="2051"/>
      <c r="F10" s="2052"/>
      <c r="G10" s="2052"/>
      <c r="H10" s="2052"/>
      <c r="I10" s="2052"/>
      <c r="J10" s="2052"/>
      <c r="K10" s="2052"/>
      <c r="L10" s="2052"/>
      <c r="M10" s="2053"/>
      <c r="N10" s="1456"/>
      <c r="O10" s="2041"/>
      <c r="P10" s="2041"/>
      <c r="Q10" s="2041"/>
      <c r="R10" s="2042"/>
      <c r="S10" s="2043"/>
      <c r="T10" s="2044"/>
      <c r="U10" s="2044"/>
      <c r="V10" s="2044"/>
      <c r="W10" s="2044"/>
      <c r="X10" s="2044"/>
      <c r="Y10" s="2044"/>
      <c r="Z10" s="2044"/>
      <c r="AA10" s="2045"/>
    </row>
    <row r="11" spans="1:105" ht="18" customHeight="1" x14ac:dyDescent="0.25">
      <c r="A11" s="1460"/>
      <c r="B11" s="1460"/>
      <c r="C11" s="1460"/>
      <c r="D11" s="1460"/>
      <c r="E11" s="1461"/>
      <c r="F11" s="1461"/>
      <c r="G11" s="1461"/>
      <c r="H11" s="1461"/>
      <c r="I11" s="1461"/>
      <c r="J11" s="1461"/>
      <c r="K11" s="1461"/>
      <c r="L11" s="1461"/>
      <c r="M11" s="1461"/>
      <c r="N11" s="1456"/>
      <c r="O11" s="1463"/>
      <c r="P11" s="1463"/>
      <c r="Q11" s="1463"/>
      <c r="R11" s="1463"/>
      <c r="S11" s="1462"/>
      <c r="T11" s="1462"/>
      <c r="U11" s="1462"/>
      <c r="V11" s="1462"/>
      <c r="W11" s="1462"/>
      <c r="X11" s="1462"/>
      <c r="Y11" s="1462"/>
      <c r="Z11" s="1464"/>
      <c r="AA11" s="1464"/>
    </row>
    <row r="12" spans="1:105" ht="26.25" x14ac:dyDescent="0.2">
      <c r="A12" s="2057" t="s">
        <v>1437</v>
      </c>
      <c r="B12" s="2057"/>
      <c r="C12" s="2057"/>
      <c r="D12" s="2057"/>
      <c r="E12" s="2057"/>
      <c r="F12" s="2057"/>
      <c r="G12" s="2057"/>
      <c r="H12" s="2057"/>
      <c r="I12" s="2057"/>
      <c r="J12" s="2057"/>
      <c r="K12" s="2057"/>
      <c r="L12" s="2057"/>
      <c r="M12" s="2057"/>
      <c r="N12" s="1455"/>
      <c r="O12" s="1455"/>
      <c r="P12" s="1455"/>
      <c r="Q12" s="1456"/>
      <c r="R12" s="1465"/>
      <c r="S12" s="1465"/>
      <c r="T12" s="1465"/>
      <c r="U12" s="1465"/>
      <c r="V12" s="1465"/>
      <c r="W12" s="1465"/>
      <c r="X12" s="1465"/>
      <c r="Y12" s="1465"/>
      <c r="Z12" s="1466"/>
      <c r="AA12" s="1466"/>
    </row>
    <row r="13" spans="1:105" ht="18" customHeight="1" x14ac:dyDescent="0.25">
      <c r="A13" s="2049" t="s">
        <v>1145</v>
      </c>
      <c r="B13" s="2049"/>
      <c r="C13" s="2049"/>
      <c r="D13" s="2050"/>
      <c r="E13" s="2051"/>
      <c r="F13" s="2052"/>
      <c r="G13" s="2052"/>
      <c r="H13" s="2052"/>
      <c r="I13" s="2052"/>
      <c r="J13" s="2052"/>
      <c r="K13" s="2052"/>
      <c r="L13" s="2052"/>
      <c r="M13" s="2053"/>
      <c r="N13" s="1456"/>
      <c r="O13" s="2041" t="s">
        <v>3</v>
      </c>
      <c r="P13" s="2041"/>
      <c r="Q13" s="2041"/>
      <c r="R13" s="2042"/>
      <c r="S13" s="2054"/>
      <c r="T13" s="2055"/>
      <c r="U13" s="2055"/>
      <c r="V13" s="2055"/>
      <c r="W13" s="2055"/>
      <c r="X13" s="2055"/>
      <c r="Y13" s="2055"/>
      <c r="Z13" s="2055"/>
      <c r="AA13" s="2056"/>
    </row>
    <row r="14" spans="1:105" ht="18" customHeight="1" x14ac:dyDescent="0.25">
      <c r="A14" s="2049" t="s">
        <v>1435</v>
      </c>
      <c r="B14" s="2049"/>
      <c r="C14" s="2049"/>
      <c r="D14" s="2050"/>
      <c r="E14" s="2051"/>
      <c r="F14" s="2052"/>
      <c r="G14" s="2052"/>
      <c r="H14" s="2052"/>
      <c r="I14" s="2052"/>
      <c r="J14" s="2052"/>
      <c r="K14" s="2052"/>
      <c r="L14" s="2052"/>
      <c r="M14" s="2053"/>
      <c r="N14" s="1456"/>
      <c r="O14" s="2041" t="s">
        <v>216</v>
      </c>
      <c r="P14" s="2041"/>
      <c r="Q14" s="2041"/>
      <c r="R14" s="2042"/>
      <c r="S14" s="2054"/>
      <c r="T14" s="2055"/>
      <c r="U14" s="2055"/>
      <c r="V14" s="2055"/>
      <c r="W14" s="2055"/>
      <c r="X14" s="2055"/>
      <c r="Y14" s="2055"/>
      <c r="Z14" s="2055"/>
      <c r="AA14" s="2056"/>
      <c r="AB14" s="21"/>
    </row>
    <row r="15" spans="1:105" ht="18" customHeight="1" x14ac:dyDescent="0.25">
      <c r="A15" s="2049" t="s">
        <v>215</v>
      </c>
      <c r="B15" s="2049"/>
      <c r="C15" s="2049"/>
      <c r="D15" s="2050"/>
      <c r="E15" s="2051"/>
      <c r="F15" s="2052"/>
      <c r="G15" s="2052"/>
      <c r="H15" s="2052"/>
      <c r="I15" s="2052"/>
      <c r="J15" s="2052"/>
      <c r="K15" s="2052"/>
      <c r="L15" s="2052"/>
      <c r="M15" s="2053"/>
      <c r="N15" s="1456"/>
      <c r="O15" s="2041" t="s">
        <v>193</v>
      </c>
      <c r="P15" s="2041"/>
      <c r="Q15" s="2041"/>
      <c r="R15" s="2042"/>
      <c r="S15" s="2046"/>
      <c r="T15" s="2047"/>
      <c r="U15" s="2047"/>
      <c r="V15" s="2047"/>
      <c r="W15" s="2047"/>
      <c r="X15" s="2047"/>
      <c r="Y15" s="2047"/>
      <c r="Z15" s="2047"/>
      <c r="AA15" s="2048"/>
      <c r="AB15" s="21"/>
    </row>
    <row r="16" spans="1:105" ht="18" customHeight="1" x14ac:dyDescent="0.25">
      <c r="A16" s="2049" t="s">
        <v>1434</v>
      </c>
      <c r="B16" s="2049"/>
      <c r="C16" s="2049"/>
      <c r="D16" s="2050"/>
      <c r="E16" s="2051"/>
      <c r="F16" s="2052"/>
      <c r="G16" s="2052"/>
      <c r="H16" s="2052"/>
      <c r="I16" s="2052"/>
      <c r="J16" s="2052"/>
      <c r="K16" s="2052"/>
      <c r="L16" s="2052"/>
      <c r="M16" s="2053"/>
      <c r="N16" s="1456"/>
      <c r="O16" s="2041"/>
      <c r="P16" s="2041"/>
      <c r="Q16" s="2041"/>
      <c r="R16" s="2042"/>
      <c r="S16" s="2043"/>
      <c r="T16" s="2044"/>
      <c r="U16" s="2044"/>
      <c r="V16" s="2044"/>
      <c r="W16" s="2044"/>
      <c r="X16" s="2044"/>
      <c r="Y16" s="2044"/>
      <c r="Z16" s="2044"/>
      <c r="AA16" s="2045"/>
      <c r="AB16" s="21"/>
    </row>
    <row r="17" spans="1:28" ht="18" customHeight="1" x14ac:dyDescent="0.25">
      <c r="A17" s="2058"/>
      <c r="B17" s="2058"/>
      <c r="C17" s="2058"/>
      <c r="D17" s="2058"/>
      <c r="E17" s="2059"/>
      <c r="F17" s="2059"/>
      <c r="G17" s="2059"/>
      <c r="H17" s="2059"/>
      <c r="I17" s="2059"/>
      <c r="J17" s="2059"/>
      <c r="K17" s="2059"/>
      <c r="L17" s="2059"/>
      <c r="M17" s="2059"/>
      <c r="N17" s="2059"/>
      <c r="O17" s="2059"/>
      <c r="P17" s="2059"/>
      <c r="Q17" s="2059"/>
      <c r="R17" s="2059"/>
      <c r="S17" s="2059"/>
      <c r="T17" s="2059"/>
      <c r="U17" s="2059"/>
      <c r="V17" s="2059"/>
      <c r="W17" s="2059"/>
      <c r="X17" s="2059"/>
      <c r="Y17" s="2059"/>
      <c r="Z17" s="2059"/>
      <c r="AA17" s="2059"/>
      <c r="AB17" s="21"/>
    </row>
    <row r="18" spans="1:28" ht="26.25" x14ac:dyDescent="0.25">
      <c r="A18" s="2057" t="s">
        <v>1436</v>
      </c>
      <c r="B18" s="2057"/>
      <c r="C18" s="2057"/>
      <c r="D18" s="2057"/>
      <c r="E18" s="2057"/>
      <c r="F18" s="2057"/>
      <c r="G18" s="2057"/>
      <c r="H18" s="2057"/>
      <c r="I18" s="2057"/>
      <c r="J18" s="2057"/>
      <c r="K18" s="2057"/>
      <c r="L18" s="2057"/>
      <c r="M18" s="2057"/>
      <c r="N18" s="1455"/>
      <c r="O18" s="1455"/>
      <c r="P18" s="1455"/>
      <c r="Q18" s="1455"/>
      <c r="R18" s="1457"/>
      <c r="S18" s="1457"/>
      <c r="T18" s="1458"/>
      <c r="U18" s="1458"/>
      <c r="V18" s="1458"/>
      <c r="W18" s="1458"/>
      <c r="X18" s="1458"/>
      <c r="Y18" s="1458"/>
      <c r="Z18" s="1458"/>
      <c r="AA18" s="1458"/>
      <c r="AB18" s="21"/>
    </row>
    <row r="19" spans="1:28" ht="18" customHeight="1" x14ac:dyDescent="0.25">
      <c r="A19" s="2049" t="s">
        <v>1145</v>
      </c>
      <c r="B19" s="2049"/>
      <c r="C19" s="2049"/>
      <c r="D19" s="2050"/>
      <c r="E19" s="2051"/>
      <c r="F19" s="2052"/>
      <c r="G19" s="2052"/>
      <c r="H19" s="2052"/>
      <c r="I19" s="2052"/>
      <c r="J19" s="2052"/>
      <c r="K19" s="2052"/>
      <c r="L19" s="2052"/>
      <c r="M19" s="2053"/>
      <c r="N19" s="1456"/>
      <c r="O19" s="2041" t="s">
        <v>3</v>
      </c>
      <c r="P19" s="2041"/>
      <c r="Q19" s="2041"/>
      <c r="R19" s="2042"/>
      <c r="S19" s="2054"/>
      <c r="T19" s="2055"/>
      <c r="U19" s="2055"/>
      <c r="V19" s="2055"/>
      <c r="W19" s="2055"/>
      <c r="X19" s="2055"/>
      <c r="Y19" s="2055"/>
      <c r="Z19" s="2055"/>
      <c r="AA19" s="2056"/>
      <c r="AB19" s="21"/>
    </row>
    <row r="20" spans="1:28" ht="18" customHeight="1" x14ac:dyDescent="0.25">
      <c r="A20" s="2049" t="s">
        <v>1435</v>
      </c>
      <c r="B20" s="2049"/>
      <c r="C20" s="2049"/>
      <c r="D20" s="2050"/>
      <c r="E20" s="2051"/>
      <c r="F20" s="2052"/>
      <c r="G20" s="2052"/>
      <c r="H20" s="2052"/>
      <c r="I20" s="2052"/>
      <c r="J20" s="2052"/>
      <c r="K20" s="2052"/>
      <c r="L20" s="2052"/>
      <c r="M20" s="2053"/>
      <c r="N20" s="1456"/>
      <c r="O20" s="2041" t="s">
        <v>216</v>
      </c>
      <c r="P20" s="2041"/>
      <c r="Q20" s="2041"/>
      <c r="R20" s="2042"/>
      <c r="S20" s="2054"/>
      <c r="T20" s="2055"/>
      <c r="U20" s="2055"/>
      <c r="V20" s="2055"/>
      <c r="W20" s="2055"/>
      <c r="X20" s="2055"/>
      <c r="Y20" s="2055"/>
      <c r="Z20" s="2055"/>
      <c r="AA20" s="2056"/>
    </row>
    <row r="21" spans="1:28" ht="18" customHeight="1" x14ac:dyDescent="0.25">
      <c r="A21" s="2049" t="s">
        <v>215</v>
      </c>
      <c r="B21" s="2049"/>
      <c r="C21" s="2049"/>
      <c r="D21" s="2050"/>
      <c r="E21" s="2051"/>
      <c r="F21" s="2052"/>
      <c r="G21" s="2052"/>
      <c r="H21" s="2052"/>
      <c r="I21" s="2052"/>
      <c r="J21" s="2052"/>
      <c r="K21" s="2052"/>
      <c r="L21" s="2052"/>
      <c r="M21" s="2053"/>
      <c r="N21" s="1456"/>
      <c r="O21" s="2041" t="s">
        <v>193</v>
      </c>
      <c r="P21" s="2041"/>
      <c r="Q21" s="2041"/>
      <c r="R21" s="2042"/>
      <c r="S21" s="2046"/>
      <c r="T21" s="2047"/>
      <c r="U21" s="2047"/>
      <c r="V21" s="2047"/>
      <c r="W21" s="2047"/>
      <c r="X21" s="2047"/>
      <c r="Y21" s="2047"/>
      <c r="Z21" s="2047"/>
      <c r="AA21" s="2048"/>
    </row>
    <row r="22" spans="1:28" ht="18" customHeight="1" x14ac:dyDescent="0.25">
      <c r="A22" s="2049" t="s">
        <v>1434</v>
      </c>
      <c r="B22" s="2049"/>
      <c r="C22" s="2049"/>
      <c r="D22" s="2050"/>
      <c r="E22" s="2051"/>
      <c r="F22" s="2052"/>
      <c r="G22" s="2052"/>
      <c r="H22" s="2052"/>
      <c r="I22" s="2052"/>
      <c r="J22" s="2052"/>
      <c r="K22" s="2052"/>
      <c r="L22" s="2052"/>
      <c r="M22" s="2053"/>
      <c r="N22" s="1456"/>
      <c r="O22" s="2041"/>
      <c r="P22" s="2041"/>
      <c r="Q22" s="2041"/>
      <c r="R22" s="2042"/>
      <c r="S22" s="2043"/>
      <c r="T22" s="2044"/>
      <c r="U22" s="2044"/>
      <c r="V22" s="2044"/>
      <c r="W22" s="2044"/>
      <c r="X22" s="2044"/>
      <c r="Y22" s="2044"/>
      <c r="Z22" s="2044"/>
      <c r="AA22" s="2045"/>
    </row>
    <row r="23" spans="1:28" ht="18" customHeight="1" x14ac:dyDescent="0.25"/>
    <row r="24" spans="1:28" ht="26.25" x14ac:dyDescent="0.25">
      <c r="A24" s="2057" t="str">
        <f>CONCATENATE("Nearest Relative - ",+Profile!G5)</f>
        <v xml:space="preserve">Nearest Relative - </v>
      </c>
      <c r="B24" s="2057"/>
      <c r="C24" s="2057"/>
      <c r="D24" s="2057"/>
      <c r="E24" s="2057"/>
      <c r="F24" s="2057"/>
      <c r="G24" s="2057"/>
      <c r="H24" s="2057"/>
      <c r="I24" s="2057"/>
      <c r="J24" s="2057"/>
      <c r="K24" s="2057"/>
      <c r="L24" s="2057"/>
      <c r="M24" s="2057"/>
      <c r="N24" s="1455"/>
      <c r="O24" s="2057" t="str">
        <f>CONCATENATE("Nearest Relative - ",+Profile!R5)</f>
        <v xml:space="preserve">Nearest Relative - </v>
      </c>
      <c r="P24" s="2057"/>
      <c r="Q24" s="2057"/>
      <c r="R24" s="2057"/>
      <c r="S24" s="2057"/>
      <c r="T24" s="2057"/>
      <c r="U24" s="2057"/>
      <c r="V24" s="2057"/>
      <c r="W24" s="2057"/>
      <c r="X24" s="2057"/>
      <c r="Y24" s="2057"/>
      <c r="Z24" s="1458"/>
      <c r="AA24" s="1458"/>
    </row>
    <row r="25" spans="1:28" ht="18" customHeight="1" x14ac:dyDescent="0.25">
      <c r="A25" s="2049" t="s">
        <v>100</v>
      </c>
      <c r="B25" s="2049"/>
      <c r="C25" s="2049"/>
      <c r="D25" s="2050"/>
      <c r="E25" s="2051"/>
      <c r="F25" s="2052"/>
      <c r="G25" s="2052"/>
      <c r="H25" s="2052"/>
      <c r="I25" s="2052"/>
      <c r="J25" s="2052"/>
      <c r="K25" s="2052"/>
      <c r="L25" s="2052"/>
      <c r="M25" s="2053"/>
      <c r="N25" s="1456"/>
      <c r="O25" s="2049" t="s">
        <v>100</v>
      </c>
      <c r="P25" s="2049"/>
      <c r="Q25" s="2049"/>
      <c r="R25" s="2050"/>
      <c r="S25" s="2051"/>
      <c r="T25" s="2052"/>
      <c r="U25" s="2052"/>
      <c r="V25" s="2052"/>
      <c r="W25" s="2052"/>
      <c r="X25" s="2052"/>
      <c r="Y25" s="2052"/>
      <c r="Z25" s="2052"/>
      <c r="AA25" s="2053"/>
    </row>
    <row r="26" spans="1:28" ht="18.75" customHeight="1" x14ac:dyDescent="0.25">
      <c r="A26" s="2049" t="s">
        <v>7</v>
      </c>
      <c r="B26" s="2049"/>
      <c r="C26" s="2049"/>
      <c r="D26" s="2050"/>
      <c r="E26" s="2051"/>
      <c r="F26" s="2052"/>
      <c r="G26" s="2052"/>
      <c r="H26" s="2052"/>
      <c r="I26" s="2052"/>
      <c r="J26" s="2052"/>
      <c r="K26" s="2052"/>
      <c r="L26" s="2052"/>
      <c r="M26" s="2053"/>
      <c r="N26" s="1456"/>
      <c r="O26" s="2049" t="s">
        <v>7</v>
      </c>
      <c r="P26" s="2049"/>
      <c r="Q26" s="2049"/>
      <c r="R26" s="2050"/>
      <c r="S26" s="2051"/>
      <c r="T26" s="2052"/>
      <c r="U26" s="2052"/>
      <c r="V26" s="2052"/>
      <c r="W26" s="2052"/>
      <c r="X26" s="2052"/>
      <c r="Y26" s="2052"/>
      <c r="Z26" s="2052"/>
      <c r="AA26" s="2053"/>
    </row>
    <row r="27" spans="1:28" ht="18.75" customHeight="1" x14ac:dyDescent="0.25">
      <c r="A27" s="2049" t="s">
        <v>215</v>
      </c>
      <c r="B27" s="2049"/>
      <c r="C27" s="2049"/>
      <c r="D27" s="2050"/>
      <c r="E27" s="2051"/>
      <c r="F27" s="2052"/>
      <c r="G27" s="2052"/>
      <c r="H27" s="2052"/>
      <c r="I27" s="2052"/>
      <c r="J27" s="2052"/>
      <c r="K27" s="2052"/>
      <c r="L27" s="2052"/>
      <c r="M27" s="2053"/>
      <c r="N27" s="1456"/>
      <c r="O27" s="2049" t="s">
        <v>215</v>
      </c>
      <c r="P27" s="2049"/>
      <c r="Q27" s="2049"/>
      <c r="R27" s="2050"/>
      <c r="S27" s="2051"/>
      <c r="T27" s="2052"/>
      <c r="U27" s="2052"/>
      <c r="V27" s="2052"/>
      <c r="W27" s="2052"/>
      <c r="X27" s="2052"/>
      <c r="Y27" s="2052"/>
      <c r="Z27" s="2052"/>
      <c r="AA27" s="2053"/>
    </row>
    <row r="28" spans="1:28" ht="18.75" customHeight="1" x14ac:dyDescent="0.25">
      <c r="A28" s="2049" t="s">
        <v>1434</v>
      </c>
      <c r="B28" s="2049"/>
      <c r="C28" s="2049"/>
      <c r="D28" s="2050"/>
      <c r="E28" s="2051"/>
      <c r="F28" s="2052"/>
      <c r="G28" s="2052"/>
      <c r="H28" s="2052"/>
      <c r="I28" s="2052"/>
      <c r="J28" s="2052"/>
      <c r="K28" s="2052"/>
      <c r="L28" s="2052"/>
      <c r="M28" s="2053"/>
      <c r="N28" s="1456"/>
      <c r="O28" s="2049" t="s">
        <v>1434</v>
      </c>
      <c r="P28" s="2049"/>
      <c r="Q28" s="2049"/>
      <c r="R28" s="2050"/>
      <c r="S28" s="2051"/>
      <c r="T28" s="2052"/>
      <c r="U28" s="2052"/>
      <c r="V28" s="2052"/>
      <c r="W28" s="2052"/>
      <c r="X28" s="2052"/>
      <c r="Y28" s="2052"/>
      <c r="Z28" s="2052"/>
      <c r="AA28" s="2053"/>
    </row>
    <row r="29" spans="1:28" ht="18.75" customHeight="1" x14ac:dyDescent="0.25">
      <c r="A29" s="2049" t="s">
        <v>3</v>
      </c>
      <c r="B29" s="2049"/>
      <c r="C29" s="2049"/>
      <c r="D29" s="2050"/>
      <c r="E29" s="2051"/>
      <c r="F29" s="2052"/>
      <c r="G29" s="2052"/>
      <c r="H29" s="2052"/>
      <c r="I29" s="2052"/>
      <c r="J29" s="2052"/>
      <c r="K29" s="2052"/>
      <c r="L29" s="2052"/>
      <c r="M29" s="2053"/>
      <c r="O29" s="2049" t="s">
        <v>3</v>
      </c>
      <c r="P29" s="2049"/>
      <c r="Q29" s="2049"/>
      <c r="R29" s="2050"/>
      <c r="S29" s="2051"/>
      <c r="T29" s="2052"/>
      <c r="U29" s="2052"/>
      <c r="V29" s="2052"/>
      <c r="W29" s="2052"/>
      <c r="X29" s="2052"/>
      <c r="Y29" s="2052"/>
      <c r="Z29" s="2052"/>
      <c r="AA29" s="2053"/>
    </row>
    <row r="30" spans="1:28" ht="18.75" customHeight="1" x14ac:dyDescent="0.25">
      <c r="A30" s="2041" t="s">
        <v>193</v>
      </c>
      <c r="B30" s="2041"/>
      <c r="C30" s="2041"/>
      <c r="D30" s="2042"/>
      <c r="E30" s="2046"/>
      <c r="F30" s="2047"/>
      <c r="G30" s="2047"/>
      <c r="H30" s="2047"/>
      <c r="I30" s="2047"/>
      <c r="J30" s="2047"/>
      <c r="K30" s="2047"/>
      <c r="L30" s="2047"/>
      <c r="M30" s="2048"/>
      <c r="O30" s="2041" t="s">
        <v>193</v>
      </c>
      <c r="P30" s="2041"/>
      <c r="Q30" s="2041"/>
      <c r="R30" s="2042"/>
      <c r="S30" s="2046"/>
      <c r="T30" s="2047"/>
      <c r="U30" s="2047"/>
      <c r="V30" s="2047"/>
      <c r="W30" s="2047"/>
      <c r="X30" s="2047"/>
      <c r="Y30" s="2047"/>
      <c r="Z30" s="2047"/>
      <c r="AA30" s="2048"/>
    </row>
    <row r="31" spans="1:28" ht="18.75" customHeight="1" x14ac:dyDescent="0.25">
      <c r="A31" s="2041"/>
      <c r="B31" s="2041"/>
      <c r="C31" s="2041"/>
      <c r="D31" s="2042"/>
      <c r="E31" s="2043"/>
      <c r="F31" s="2044"/>
      <c r="G31" s="2044"/>
      <c r="H31" s="2044"/>
      <c r="I31" s="2044"/>
      <c r="J31" s="2044"/>
      <c r="K31" s="2044"/>
      <c r="L31" s="2044"/>
      <c r="M31" s="2045"/>
      <c r="O31" s="2041"/>
      <c r="P31" s="2041"/>
      <c r="Q31" s="2041"/>
      <c r="R31" s="2042"/>
      <c r="S31" s="2043"/>
      <c r="T31" s="2044"/>
      <c r="U31" s="2044"/>
      <c r="V31" s="2044"/>
      <c r="W31" s="2044"/>
      <c r="X31" s="2044"/>
      <c r="Y31" s="2044"/>
      <c r="Z31" s="2044"/>
      <c r="AA31" s="2045"/>
    </row>
  </sheetData>
  <mergeCells count="90">
    <mergeCell ref="B4:Z4"/>
    <mergeCell ref="A1:T1"/>
    <mergeCell ref="A2:AA2"/>
    <mergeCell ref="B3:F3"/>
    <mergeCell ref="I3:R3"/>
    <mergeCell ref="S3:U3"/>
    <mergeCell ref="V3:AA3"/>
    <mergeCell ref="A24:M24"/>
    <mergeCell ref="A20:D20"/>
    <mergeCell ref="E20:M20"/>
    <mergeCell ref="O20:R20"/>
    <mergeCell ref="E15:M15"/>
    <mergeCell ref="O15:R15"/>
    <mergeCell ref="O24:Y24"/>
    <mergeCell ref="S20:AA20"/>
    <mergeCell ref="A16:D16"/>
    <mergeCell ref="E16:M16"/>
    <mergeCell ref="O16:R16"/>
    <mergeCell ref="S16:AA16"/>
    <mergeCell ref="A22:D22"/>
    <mergeCell ref="E22:M22"/>
    <mergeCell ref="O22:R22"/>
    <mergeCell ref="S22:AA22"/>
    <mergeCell ref="A6:M6"/>
    <mergeCell ref="A21:D21"/>
    <mergeCell ref="E21:M21"/>
    <mergeCell ref="O21:R21"/>
    <mergeCell ref="S21:AA21"/>
    <mergeCell ref="A17:D17"/>
    <mergeCell ref="E17:AA17"/>
    <mergeCell ref="A19:D19"/>
    <mergeCell ref="E19:M19"/>
    <mergeCell ref="O19:R19"/>
    <mergeCell ref="S19:AA19"/>
    <mergeCell ref="A18:M18"/>
    <mergeCell ref="A14:D14"/>
    <mergeCell ref="E14:M14"/>
    <mergeCell ref="O14:R14"/>
    <mergeCell ref="S14:AA14"/>
    <mergeCell ref="A7:D7"/>
    <mergeCell ref="E7:M7"/>
    <mergeCell ref="O7:R7"/>
    <mergeCell ref="S7:AA7"/>
    <mergeCell ref="A8:D8"/>
    <mergeCell ref="E8:M8"/>
    <mergeCell ref="O8:R8"/>
    <mergeCell ref="S8:AA8"/>
    <mergeCell ref="A15:D15"/>
    <mergeCell ref="S15:AA15"/>
    <mergeCell ref="A9:D9"/>
    <mergeCell ref="E9:M9"/>
    <mergeCell ref="O9:R9"/>
    <mergeCell ref="S9:AA9"/>
    <mergeCell ref="A10:D10"/>
    <mergeCell ref="E10:M10"/>
    <mergeCell ref="O10:R10"/>
    <mergeCell ref="S10:AA10"/>
    <mergeCell ref="A13:D13"/>
    <mergeCell ref="E13:M13"/>
    <mergeCell ref="O13:R13"/>
    <mergeCell ref="S13:AA13"/>
    <mergeCell ref="A12:M12"/>
    <mergeCell ref="S27:AA27"/>
    <mergeCell ref="A28:D28"/>
    <mergeCell ref="E28:M28"/>
    <mergeCell ref="O28:R28"/>
    <mergeCell ref="S28:AA28"/>
    <mergeCell ref="A27:D27"/>
    <mergeCell ref="E27:M27"/>
    <mergeCell ref="O27:R27"/>
    <mergeCell ref="A25:D25"/>
    <mergeCell ref="E25:M25"/>
    <mergeCell ref="O25:R25"/>
    <mergeCell ref="S25:AA25"/>
    <mergeCell ref="A26:D26"/>
    <mergeCell ref="E26:M26"/>
    <mergeCell ref="O26:R26"/>
    <mergeCell ref="S26:AA26"/>
    <mergeCell ref="S29:AA29"/>
    <mergeCell ref="O30:R30"/>
    <mergeCell ref="S30:AA30"/>
    <mergeCell ref="O31:R31"/>
    <mergeCell ref="S31:AA31"/>
    <mergeCell ref="A31:D31"/>
    <mergeCell ref="E31:M31"/>
    <mergeCell ref="A30:D30"/>
    <mergeCell ref="E30:M30"/>
    <mergeCell ref="O29:R29"/>
    <mergeCell ref="A29:D29"/>
    <mergeCell ref="E29:M29"/>
  </mergeCells>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Header>&amp;C&amp;G</oddHeader>
    <oddFooter>&amp;R&amp;G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L66"/>
  <sheetViews>
    <sheetView showGridLines="0" showRuler="0" topLeftCell="A10" zoomScaleNormal="100" workbookViewId="0">
      <selection activeCell="U8" sqref="U8:Z8"/>
    </sheetView>
  </sheetViews>
  <sheetFormatPr defaultColWidth="3.5703125" defaultRowHeight="18.75" customHeight="1" x14ac:dyDescent="0.25"/>
  <cols>
    <col min="1" max="9" width="3.5703125" style="21"/>
    <col min="10" max="10" width="3.5703125" style="21" customWidth="1"/>
    <col min="11" max="14" width="3.5703125" style="21"/>
    <col min="15" max="15" width="3.5703125" style="23"/>
    <col min="16" max="26" width="3.5703125" style="21"/>
    <col min="27" max="27" width="3.5703125" style="21" customWidth="1"/>
    <col min="28" max="28" width="5.28515625" style="123" customWidth="1"/>
    <col min="29" max="29" width="14.5703125" style="94" bestFit="1" customWidth="1"/>
    <col min="30" max="30" width="24" style="94" bestFit="1" customWidth="1"/>
    <col min="31" max="31" width="9.5703125" style="94" bestFit="1" customWidth="1"/>
    <col min="32" max="32" width="10.28515625" style="94" bestFit="1" customWidth="1"/>
    <col min="33" max="42" width="3.5703125" style="94"/>
    <col min="43" max="49" width="3.5703125" style="129"/>
    <col min="50" max="50" width="21.85546875" style="129" bestFit="1" customWidth="1"/>
    <col min="51" max="51" width="13.5703125" style="129" bestFit="1" customWidth="1"/>
    <col min="52" max="64" width="3.5703125" style="129"/>
    <col min="65" max="16384" width="3.5703125" style="21"/>
  </cols>
  <sheetData>
    <row r="1" spans="1:64" ht="48" customHeight="1" x14ac:dyDescent="0.25">
      <c r="A1" s="1534" t="s">
        <v>1331</v>
      </c>
      <c r="B1" s="1534"/>
      <c r="C1" s="1534"/>
      <c r="D1" s="1534"/>
      <c r="E1" s="1534"/>
      <c r="F1" s="1534"/>
      <c r="G1" s="1534"/>
      <c r="H1" s="1534"/>
      <c r="I1" s="1534"/>
      <c r="J1" s="1534"/>
      <c r="K1" s="1534"/>
      <c r="L1" s="1534"/>
      <c r="M1" s="1534"/>
      <c r="N1" s="1534"/>
      <c r="O1" s="1534"/>
      <c r="P1" s="1534"/>
      <c r="Q1" s="1534"/>
      <c r="AC1" s="2082"/>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row>
    <row r="2" spans="1:64" s="1" customFormat="1" ht="12.75" x14ac:dyDescent="0.25">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67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1"/>
      <c r="BD2" s="131"/>
      <c r="BE2" s="131"/>
      <c r="BF2" s="131"/>
      <c r="BG2" s="131"/>
      <c r="BH2" s="131"/>
      <c r="BI2" s="131"/>
      <c r="BJ2" s="131"/>
      <c r="BK2" s="131"/>
      <c r="BL2" s="131"/>
    </row>
    <row r="3" spans="1:64" s="1" customFormat="1" ht="15.75" x14ac:dyDescent="0.25">
      <c r="A3" s="868"/>
      <c r="B3" s="2084" t="s">
        <v>669</v>
      </c>
      <c r="C3" s="2084"/>
      <c r="D3" s="2084"/>
      <c r="E3" s="2084"/>
      <c r="F3" s="2084"/>
      <c r="G3" s="2084"/>
      <c r="H3" s="2084"/>
      <c r="I3" s="2086" t="str">
        <f>+Profile!BE8</f>
        <v xml:space="preserve"> </v>
      </c>
      <c r="J3" s="2086"/>
      <c r="K3" s="2086"/>
      <c r="L3" s="2086"/>
      <c r="M3" s="2086"/>
      <c r="N3" s="2086"/>
      <c r="O3" s="2086"/>
      <c r="P3" s="2086"/>
      <c r="Q3" s="2086"/>
      <c r="R3" s="2086"/>
      <c r="S3" s="2086"/>
      <c r="T3" s="2086"/>
      <c r="U3" s="2086"/>
      <c r="V3" s="2086"/>
      <c r="W3" s="2086"/>
      <c r="X3" s="2086"/>
      <c r="Y3" s="2086"/>
      <c r="Z3" s="2086"/>
      <c r="AA3" s="868"/>
      <c r="AB3" s="675"/>
      <c r="AC3" s="135"/>
      <c r="AD3" s="135"/>
      <c r="AE3" s="135"/>
      <c r="AF3" s="135"/>
      <c r="AG3" s="135"/>
      <c r="AH3" s="135"/>
      <c r="AI3" s="135"/>
      <c r="AJ3" s="135"/>
      <c r="AK3" s="135"/>
      <c r="AL3" s="135"/>
      <c r="AM3" s="135"/>
      <c r="AN3" s="135"/>
      <c r="AO3" s="135"/>
      <c r="AP3" s="135"/>
      <c r="AQ3" s="131"/>
      <c r="AR3" s="131"/>
      <c r="AS3" s="131"/>
      <c r="AT3" s="131"/>
      <c r="AU3" s="131"/>
      <c r="AV3" s="131"/>
      <c r="AW3" s="131"/>
      <c r="AX3" s="131"/>
      <c r="AY3" s="131"/>
      <c r="AZ3" s="131"/>
      <c r="BA3" s="131"/>
      <c r="BB3" s="131"/>
      <c r="BC3" s="131"/>
      <c r="BD3" s="131"/>
      <c r="BE3" s="131"/>
      <c r="BF3" s="131"/>
      <c r="BG3" s="131"/>
      <c r="BH3" s="131"/>
      <c r="BI3" s="131"/>
      <c r="BJ3" s="131"/>
      <c r="BK3" s="131"/>
      <c r="BL3" s="131"/>
    </row>
    <row r="4" spans="1:64" s="27" customFormat="1" ht="14.65" customHeight="1" x14ac:dyDescent="0.25">
      <c r="A4" s="689"/>
      <c r="B4" s="2085" t="s">
        <v>851</v>
      </c>
      <c r="C4" s="2085"/>
      <c r="D4" s="2085"/>
      <c r="E4" s="2085"/>
      <c r="F4" s="2085"/>
      <c r="G4" s="2085"/>
      <c r="H4" s="2085"/>
      <c r="I4" s="2087" t="s">
        <v>789</v>
      </c>
      <c r="J4" s="2087"/>
      <c r="K4" s="2087"/>
      <c r="L4" s="2087"/>
      <c r="M4" s="2087"/>
      <c r="N4" s="693"/>
      <c r="O4" s="693"/>
      <c r="P4" s="693"/>
      <c r="Q4" s="693"/>
      <c r="R4" s="693"/>
      <c r="S4" s="693"/>
      <c r="T4" s="881"/>
      <c r="U4" s="881"/>
      <c r="V4" s="881"/>
      <c r="W4" s="881"/>
      <c r="X4" s="882"/>
      <c r="Y4" s="883"/>
      <c r="Z4" s="883"/>
      <c r="AA4" s="689"/>
      <c r="AB4" s="677"/>
      <c r="AC4" s="867"/>
      <c r="AD4" s="867"/>
      <c r="AE4" s="867"/>
      <c r="AF4" s="867"/>
      <c r="AG4" s="867"/>
      <c r="AH4" s="867"/>
      <c r="AI4" s="867"/>
      <c r="AJ4" s="867"/>
      <c r="AK4" s="867"/>
      <c r="AL4" s="867"/>
      <c r="AM4" s="867"/>
      <c r="AN4" s="867"/>
      <c r="AO4" s="867"/>
      <c r="AP4" s="867"/>
      <c r="AQ4" s="153"/>
      <c r="AR4" s="153"/>
      <c r="AS4" s="153"/>
      <c r="AT4" s="153"/>
      <c r="AU4" s="153"/>
      <c r="AV4" s="153"/>
      <c r="AW4" s="153"/>
      <c r="AX4" s="153"/>
      <c r="AY4" s="153"/>
      <c r="AZ4" s="153"/>
      <c r="BA4" s="153"/>
      <c r="BB4" s="153"/>
      <c r="BC4" s="153"/>
      <c r="BD4" s="153"/>
      <c r="BE4" s="153"/>
      <c r="BF4" s="153"/>
      <c r="BG4" s="153"/>
      <c r="BH4" s="153"/>
      <c r="BI4" s="153"/>
      <c r="BJ4" s="153"/>
      <c r="BK4" s="153"/>
      <c r="BL4" s="153"/>
    </row>
    <row r="5" spans="1:64" s="131" customFormat="1" ht="15.75" x14ac:dyDescent="0.25">
      <c r="A5" s="868"/>
      <c r="B5" s="1726" t="s">
        <v>861</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868"/>
      <c r="AB5" s="676"/>
      <c r="AC5" s="879"/>
      <c r="AD5" s="880"/>
      <c r="AE5" s="135"/>
      <c r="AF5" s="135"/>
      <c r="AG5" s="135"/>
      <c r="AH5" s="135"/>
      <c r="AI5" s="135"/>
      <c r="AJ5" s="135"/>
      <c r="AK5" s="135"/>
      <c r="AL5" s="135"/>
      <c r="AM5" s="135"/>
      <c r="AN5" s="135"/>
      <c r="AO5" s="135"/>
      <c r="AP5" s="135"/>
    </row>
    <row r="6" spans="1:64" s="876" customFormat="1" ht="7.5" customHeight="1" x14ac:dyDescent="0.25">
      <c r="A6" s="873"/>
      <c r="B6" s="873"/>
      <c r="C6" s="873"/>
      <c r="D6" s="873"/>
      <c r="E6" s="873"/>
      <c r="F6" s="873"/>
      <c r="G6" s="873"/>
      <c r="H6" s="873"/>
      <c r="I6" s="873"/>
      <c r="J6" s="873"/>
      <c r="K6" s="873"/>
      <c r="L6" s="873"/>
      <c r="M6" s="873"/>
      <c r="N6" s="873"/>
      <c r="O6" s="874"/>
      <c r="P6" s="873"/>
      <c r="Q6" s="873"/>
      <c r="R6" s="873"/>
      <c r="S6" s="873"/>
      <c r="T6" s="873"/>
      <c r="U6" s="873"/>
      <c r="V6" s="873"/>
      <c r="W6" s="873"/>
      <c r="X6" s="873"/>
      <c r="Y6" s="873"/>
      <c r="Z6" s="873"/>
      <c r="AA6" s="873"/>
      <c r="AB6" s="875"/>
      <c r="AC6" s="879"/>
      <c r="AD6" s="880"/>
      <c r="AI6" s="877"/>
      <c r="AJ6" s="877"/>
      <c r="AK6" s="877"/>
      <c r="AL6" s="877"/>
      <c r="AM6" s="877"/>
      <c r="AN6" s="877"/>
      <c r="AO6" s="877"/>
      <c r="AP6" s="877"/>
    </row>
    <row r="7" spans="1:64" s="129" customFormat="1" ht="26.25" customHeight="1" x14ac:dyDescent="0.4">
      <c r="A7" s="210"/>
      <c r="B7" s="210"/>
      <c r="C7" s="2069" t="s">
        <v>1357</v>
      </c>
      <c r="D7" s="2069"/>
      <c r="E7" s="2069"/>
      <c r="F7" s="2069"/>
      <c r="G7" s="2069"/>
      <c r="H7" s="2069"/>
      <c r="I7" s="2069"/>
      <c r="J7" s="2069"/>
      <c r="K7" s="2069"/>
      <c r="L7" s="2069"/>
      <c r="M7" s="2069"/>
      <c r="N7" s="2069"/>
      <c r="O7" s="2069"/>
      <c r="P7" s="2072"/>
      <c r="Q7" s="2072"/>
      <c r="R7" s="2072"/>
      <c r="S7" s="2072"/>
      <c r="T7" s="2072"/>
      <c r="U7" s="210"/>
      <c r="V7" s="210"/>
      <c r="W7" s="2073"/>
      <c r="X7" s="2073"/>
      <c r="Y7" s="2073"/>
      <c r="Z7" s="2073"/>
      <c r="AA7" s="210"/>
      <c r="AB7" s="215"/>
      <c r="AC7" s="879"/>
      <c r="AD7" s="880"/>
      <c r="AE7" s="94"/>
      <c r="AF7" s="94"/>
      <c r="AG7" s="94"/>
      <c r="AH7" s="94"/>
      <c r="AI7" s="94"/>
      <c r="AJ7" s="94"/>
      <c r="AK7" s="94"/>
      <c r="AL7" s="94"/>
      <c r="AM7" s="94"/>
      <c r="AN7" s="94"/>
      <c r="AO7" s="94"/>
      <c r="AP7" s="94"/>
      <c r="AX7" s="1335" t="s">
        <v>1358</v>
      </c>
    </row>
    <row r="8" spans="1:64" s="129" customFormat="1" ht="18" customHeight="1" x14ac:dyDescent="0.25">
      <c r="A8" s="210"/>
      <c r="B8" s="216">
        <v>1</v>
      </c>
      <c r="C8" s="2061" t="str">
        <f>CONCATENATE("How long have you known ",+Borrower1,"?")</f>
        <v>How long have you known ?</v>
      </c>
      <c r="D8" s="2062"/>
      <c r="E8" s="2062"/>
      <c r="F8" s="2062"/>
      <c r="G8" s="2062"/>
      <c r="H8" s="2062"/>
      <c r="I8" s="2062"/>
      <c r="J8" s="2062"/>
      <c r="K8" s="2062"/>
      <c r="L8" s="2062"/>
      <c r="M8" s="2081"/>
      <c r="N8" s="2081"/>
      <c r="O8" s="1333" t="s">
        <v>292</v>
      </c>
      <c r="P8" s="1334"/>
      <c r="Q8" s="2074" t="s">
        <v>1359</v>
      </c>
      <c r="R8" s="2075"/>
      <c r="S8" s="2075"/>
      <c r="T8" s="2076"/>
      <c r="U8" s="2077"/>
      <c r="V8" s="2078"/>
      <c r="W8" s="2078"/>
      <c r="X8" s="2078"/>
      <c r="Y8" s="2078"/>
      <c r="Z8" s="2079"/>
      <c r="AA8" s="210"/>
      <c r="AB8" s="215"/>
      <c r="AC8" s="94"/>
      <c r="AD8" s="94"/>
      <c r="AE8" s="94"/>
      <c r="AF8" s="94"/>
      <c r="AG8" s="94"/>
      <c r="AH8" s="94"/>
      <c r="AI8" s="94"/>
      <c r="AJ8" s="94"/>
      <c r="AK8" s="94"/>
      <c r="AL8" s="94"/>
      <c r="AM8" s="94"/>
      <c r="AN8" s="94"/>
      <c r="AO8" s="94"/>
      <c r="AP8" s="94"/>
      <c r="AX8" s="129" t="s">
        <v>1360</v>
      </c>
    </row>
    <row r="9" spans="1:64" s="129" customFormat="1" ht="18" customHeight="1" x14ac:dyDescent="0.25">
      <c r="A9" s="210"/>
      <c r="B9" s="216">
        <v>1</v>
      </c>
      <c r="C9" s="2061" t="str">
        <f>CONCATENATE("How long have you known ",+Borrower2,"?")</f>
        <v>How long have you known ?</v>
      </c>
      <c r="D9" s="2062"/>
      <c r="E9" s="2062"/>
      <c r="F9" s="2062"/>
      <c r="G9" s="2062"/>
      <c r="H9" s="2062"/>
      <c r="I9" s="2062"/>
      <c r="J9" s="2062"/>
      <c r="K9" s="2062"/>
      <c r="L9" s="2062"/>
      <c r="M9" s="2081"/>
      <c r="N9" s="2081"/>
      <c r="O9" s="1333" t="s">
        <v>292</v>
      </c>
      <c r="P9" s="1334"/>
      <c r="Q9" s="2074" t="s">
        <v>1359</v>
      </c>
      <c r="R9" s="2075"/>
      <c r="S9" s="2075"/>
      <c r="T9" s="2076"/>
      <c r="U9" s="2077"/>
      <c r="V9" s="2078"/>
      <c r="W9" s="2078"/>
      <c r="X9" s="2078"/>
      <c r="Y9" s="2078"/>
      <c r="Z9" s="2079"/>
      <c r="AA9" s="210"/>
      <c r="AB9" s="215"/>
      <c r="AC9" s="94"/>
      <c r="AD9" s="94"/>
      <c r="AE9" s="94"/>
      <c r="AF9" s="94"/>
      <c r="AG9" s="94"/>
      <c r="AH9" s="94"/>
      <c r="AI9" s="94"/>
      <c r="AJ9" s="94"/>
      <c r="AK9" s="94"/>
      <c r="AL9" s="94"/>
      <c r="AM9" s="94"/>
      <c r="AN9" s="94"/>
      <c r="AO9" s="94"/>
      <c r="AP9" s="94"/>
      <c r="AX9" s="129" t="s">
        <v>1361</v>
      </c>
    </row>
    <row r="10" spans="1:64" s="129" customFormat="1" ht="15" x14ac:dyDescent="0.2">
      <c r="A10" s="210"/>
      <c r="B10" s="1336"/>
      <c r="C10" s="2080" t="s">
        <v>1366</v>
      </c>
      <c r="D10" s="2080"/>
      <c r="E10" s="2080"/>
      <c r="F10" s="2080"/>
      <c r="G10" s="2080"/>
      <c r="H10" s="2080"/>
      <c r="I10" s="2080"/>
      <c r="J10" s="2080"/>
      <c r="K10" s="2080"/>
      <c r="L10" s="2080"/>
      <c r="M10" s="2080"/>
      <c r="N10" s="2080"/>
      <c r="O10" s="2080"/>
      <c r="P10" s="2080"/>
      <c r="Q10" s="2080"/>
      <c r="R10" s="2080"/>
      <c r="S10" s="2080"/>
      <c r="T10" s="2080"/>
      <c r="U10" s="2080"/>
      <c r="V10" s="1337"/>
      <c r="W10" s="2068" t="s">
        <v>177</v>
      </c>
      <c r="X10" s="2068"/>
      <c r="Y10" s="2068"/>
      <c r="Z10" s="2068"/>
      <c r="AA10" s="210"/>
      <c r="AB10" s="215"/>
      <c r="AC10" s="94"/>
      <c r="AD10" s="94"/>
      <c r="AE10" s="94"/>
      <c r="AF10" s="94"/>
      <c r="AG10" s="94"/>
      <c r="AH10" s="94"/>
      <c r="AI10" s="94"/>
      <c r="AJ10" s="94"/>
      <c r="AK10" s="94"/>
      <c r="AL10" s="94"/>
      <c r="AM10" s="94"/>
      <c r="AN10" s="94"/>
      <c r="AO10" s="94"/>
      <c r="AP10" s="94"/>
      <c r="AX10" s="129" t="s">
        <v>1362</v>
      </c>
    </row>
    <row r="11" spans="1:64" s="129" customFormat="1" ht="18" customHeight="1" x14ac:dyDescent="0.25">
      <c r="A11" s="210"/>
      <c r="B11" s="216">
        <v>1</v>
      </c>
      <c r="C11" s="2061" t="s">
        <v>1369</v>
      </c>
      <c r="D11" s="2062"/>
      <c r="E11" s="2062"/>
      <c r="F11" s="2062"/>
      <c r="G11" s="2062"/>
      <c r="H11" s="2062"/>
      <c r="I11" s="2062"/>
      <c r="J11" s="2062"/>
      <c r="K11" s="2062"/>
      <c r="L11" s="2062"/>
      <c r="M11" s="2062"/>
      <c r="N11" s="2062"/>
      <c r="O11" s="2062"/>
      <c r="P11" s="2062"/>
      <c r="Q11" s="2062"/>
      <c r="R11" s="2062"/>
      <c r="S11" s="2062"/>
      <c r="T11" s="2062"/>
      <c r="U11" s="2063"/>
      <c r="V11" s="210"/>
      <c r="W11" s="2064"/>
      <c r="X11" s="2065"/>
      <c r="Y11" s="2065"/>
      <c r="Z11" s="2066"/>
      <c r="AA11" s="210"/>
      <c r="AB11" s="215"/>
      <c r="AC11" s="94"/>
      <c r="AD11" s="94"/>
      <c r="AE11" s="94"/>
      <c r="AF11" s="94"/>
      <c r="AG11" s="94"/>
      <c r="AH11" s="94"/>
      <c r="AI11" s="94"/>
      <c r="AJ11" s="94"/>
      <c r="AK11" s="94"/>
      <c r="AL11" s="94"/>
      <c r="AM11" s="94"/>
      <c r="AN11" s="94"/>
      <c r="AO11" s="94"/>
      <c r="AP11" s="94"/>
      <c r="AX11" s="129" t="s">
        <v>1364</v>
      </c>
    </row>
    <row r="12" spans="1:64" s="129" customFormat="1" ht="18" customHeight="1" x14ac:dyDescent="0.25">
      <c r="A12" s="210"/>
      <c r="B12" s="216">
        <v>1</v>
      </c>
      <c r="C12" s="2061" t="s">
        <v>1368</v>
      </c>
      <c r="D12" s="2062"/>
      <c r="E12" s="2062"/>
      <c r="F12" s="2062"/>
      <c r="G12" s="2062"/>
      <c r="H12" s="2062"/>
      <c r="I12" s="2062"/>
      <c r="J12" s="2062"/>
      <c r="K12" s="2062"/>
      <c r="L12" s="2062"/>
      <c r="M12" s="2062"/>
      <c r="N12" s="2062"/>
      <c r="O12" s="2062"/>
      <c r="P12" s="2062"/>
      <c r="Q12" s="2062"/>
      <c r="R12" s="2062"/>
      <c r="S12" s="2062"/>
      <c r="T12" s="2062"/>
      <c r="U12" s="2063"/>
      <c r="V12" s="210"/>
      <c r="W12" s="2064"/>
      <c r="X12" s="2065"/>
      <c r="Y12" s="2065"/>
      <c r="Z12" s="2066"/>
      <c r="AA12" s="210"/>
      <c r="AB12" s="215"/>
      <c r="AC12" s="94"/>
      <c r="AD12" s="94"/>
      <c r="AE12" s="94"/>
      <c r="AF12" s="94"/>
      <c r="AG12" s="94"/>
      <c r="AH12" s="94"/>
      <c r="AI12" s="94"/>
      <c r="AJ12" s="94"/>
      <c r="AK12" s="94"/>
      <c r="AL12" s="94"/>
      <c r="AM12" s="94"/>
      <c r="AN12" s="94"/>
      <c r="AO12" s="94"/>
      <c r="AP12" s="94"/>
      <c r="AX12" s="129" t="s">
        <v>1363</v>
      </c>
    </row>
    <row r="13" spans="1:64" s="129" customFormat="1" ht="26.25" x14ac:dyDescent="0.4">
      <c r="A13" s="210"/>
      <c r="B13" s="210"/>
      <c r="C13" s="2069" t="s">
        <v>845</v>
      </c>
      <c r="D13" s="2069"/>
      <c r="E13" s="2069"/>
      <c r="F13" s="2069"/>
      <c r="G13" s="2069"/>
      <c r="H13" s="2069"/>
      <c r="I13" s="2069"/>
      <c r="J13" s="2069"/>
      <c r="K13" s="2069"/>
      <c r="L13" s="2069"/>
      <c r="M13" s="2069"/>
      <c r="N13" s="2069"/>
      <c r="O13" s="2069"/>
      <c r="P13" s="2069"/>
      <c r="Q13" s="2069"/>
      <c r="R13" s="2069"/>
      <c r="S13" s="2069"/>
      <c r="T13" s="2069"/>
      <c r="U13" s="210"/>
      <c r="V13" s="210"/>
      <c r="W13" s="2068" t="s">
        <v>177</v>
      </c>
      <c r="X13" s="2068"/>
      <c r="Y13" s="2068"/>
      <c r="Z13" s="2068"/>
      <c r="AA13" s="210"/>
      <c r="AB13" s="215"/>
      <c r="AC13" s="94"/>
      <c r="AD13" s="94"/>
      <c r="AE13" s="94"/>
      <c r="AF13" s="94"/>
      <c r="AG13" s="94"/>
      <c r="AH13" s="94"/>
      <c r="AI13" s="94"/>
      <c r="AJ13" s="94"/>
      <c r="AK13" s="94"/>
      <c r="AL13" s="94"/>
      <c r="AM13" s="94"/>
      <c r="AN13" s="94"/>
      <c r="AO13" s="94"/>
      <c r="AP13" s="94"/>
      <c r="AX13" s="129" t="s">
        <v>1365</v>
      </c>
    </row>
    <row r="14" spans="1:64" s="129" customFormat="1" ht="18" customHeight="1" x14ac:dyDescent="0.25">
      <c r="A14" s="210"/>
      <c r="B14" s="216">
        <v>1</v>
      </c>
      <c r="C14" s="2061" t="s">
        <v>1374</v>
      </c>
      <c r="D14" s="2062"/>
      <c r="E14" s="2062"/>
      <c r="F14" s="2062"/>
      <c r="G14" s="2062"/>
      <c r="H14" s="2062"/>
      <c r="I14" s="2062"/>
      <c r="J14" s="2062"/>
      <c r="K14" s="2062"/>
      <c r="L14" s="2062"/>
      <c r="M14" s="2062"/>
      <c r="N14" s="2062"/>
      <c r="O14" s="2062"/>
      <c r="P14" s="2062"/>
      <c r="Q14" s="2062"/>
      <c r="R14" s="2062"/>
      <c r="S14" s="2062"/>
      <c r="T14" s="2062"/>
      <c r="U14" s="2063"/>
      <c r="V14" s="210"/>
      <c r="W14" s="2064"/>
      <c r="X14" s="2065"/>
      <c r="Y14" s="2065"/>
      <c r="Z14" s="2066"/>
      <c r="AA14" s="210"/>
      <c r="AB14" s="215"/>
      <c r="AC14" s="94"/>
      <c r="AD14" s="94"/>
      <c r="AE14" s="94"/>
      <c r="AF14" s="94"/>
      <c r="AG14" s="94"/>
      <c r="AH14" s="94"/>
      <c r="AI14" s="94"/>
      <c r="AJ14" s="94"/>
      <c r="AK14" s="94"/>
      <c r="AL14" s="94"/>
      <c r="AM14" s="94"/>
      <c r="AN14" s="94"/>
      <c r="AO14" s="94"/>
      <c r="AP14" s="94"/>
      <c r="AX14" s="129" t="s">
        <v>1370</v>
      </c>
    </row>
    <row r="15" spans="1:64" s="129" customFormat="1" ht="18" customHeight="1" x14ac:dyDescent="0.25">
      <c r="A15" s="210"/>
      <c r="B15" s="216">
        <v>1</v>
      </c>
      <c r="C15" s="2061" t="s">
        <v>853</v>
      </c>
      <c r="D15" s="2062"/>
      <c r="E15" s="2062"/>
      <c r="F15" s="2062"/>
      <c r="G15" s="2062"/>
      <c r="H15" s="2062"/>
      <c r="I15" s="2062"/>
      <c r="J15" s="2062"/>
      <c r="K15" s="2062"/>
      <c r="L15" s="2062"/>
      <c r="M15" s="2062"/>
      <c r="N15" s="2062"/>
      <c r="O15" s="2062"/>
      <c r="P15" s="2062"/>
      <c r="Q15" s="2062"/>
      <c r="R15" s="2062"/>
      <c r="S15" s="2062"/>
      <c r="T15" s="2062"/>
      <c r="U15" s="2063"/>
      <c r="V15" s="210"/>
      <c r="W15" s="2064"/>
      <c r="X15" s="2065"/>
      <c r="Y15" s="2065"/>
      <c r="Z15" s="2066"/>
      <c r="AA15" s="210"/>
      <c r="AB15" s="215"/>
      <c r="AC15" s="94"/>
      <c r="AD15" s="869"/>
      <c r="AE15" s="94"/>
      <c r="AF15" s="94"/>
      <c r="AG15" s="94"/>
      <c r="AH15" s="94"/>
      <c r="AI15" s="94"/>
      <c r="AJ15" s="94"/>
      <c r="AK15" s="94"/>
      <c r="AL15" s="94"/>
      <c r="AM15" s="94"/>
      <c r="AN15" s="94"/>
      <c r="AO15" s="94"/>
      <c r="AP15" s="94"/>
      <c r="AX15" s="129" t="s">
        <v>1371</v>
      </c>
    </row>
    <row r="16" spans="1:64" s="129" customFormat="1" ht="18" customHeight="1" x14ac:dyDescent="0.25">
      <c r="A16" s="210"/>
      <c r="B16" s="216">
        <v>1</v>
      </c>
      <c r="C16" s="2061" t="s">
        <v>1367</v>
      </c>
      <c r="D16" s="2062"/>
      <c r="E16" s="2062"/>
      <c r="F16" s="2062"/>
      <c r="G16" s="2062"/>
      <c r="H16" s="2062"/>
      <c r="I16" s="2062"/>
      <c r="J16" s="2062"/>
      <c r="K16" s="2062"/>
      <c r="L16" s="2062"/>
      <c r="M16" s="2062"/>
      <c r="N16" s="2062"/>
      <c r="O16" s="2062"/>
      <c r="P16" s="2062"/>
      <c r="Q16" s="2062"/>
      <c r="R16" s="2062"/>
      <c r="S16" s="2062"/>
      <c r="T16" s="2062"/>
      <c r="U16" s="2063"/>
      <c r="V16" s="210"/>
      <c r="W16" s="2064"/>
      <c r="X16" s="2065"/>
      <c r="Y16" s="2065"/>
      <c r="Z16" s="2066"/>
      <c r="AA16" s="210"/>
      <c r="AB16" s="215"/>
      <c r="AC16" s="94"/>
      <c r="AD16" s="869"/>
      <c r="AE16" s="94"/>
      <c r="AF16" s="94"/>
      <c r="AG16" s="94"/>
      <c r="AH16" s="94"/>
      <c r="AI16" s="94"/>
      <c r="AJ16" s="94"/>
      <c r="AK16" s="94"/>
      <c r="AL16" s="94"/>
      <c r="AM16" s="94"/>
      <c r="AN16" s="94"/>
      <c r="AO16" s="94"/>
      <c r="AP16" s="94"/>
      <c r="AX16" s="129" t="s">
        <v>1372</v>
      </c>
    </row>
    <row r="17" spans="1:64" s="876" customFormat="1" ht="18" customHeight="1" x14ac:dyDescent="0.25">
      <c r="A17" s="210"/>
      <c r="B17" s="1338"/>
      <c r="C17" s="2080" t="s">
        <v>1373</v>
      </c>
      <c r="D17" s="2080"/>
      <c r="E17" s="2080"/>
      <c r="F17" s="2080"/>
      <c r="G17" s="2080"/>
      <c r="H17" s="2080"/>
      <c r="I17" s="2080"/>
      <c r="J17" s="2080"/>
      <c r="K17" s="2080"/>
      <c r="L17" s="2080"/>
      <c r="M17" s="2080"/>
      <c r="N17" s="2080"/>
      <c r="O17" s="2080"/>
      <c r="P17" s="2080"/>
      <c r="Q17" s="2080"/>
      <c r="R17" s="2080"/>
      <c r="S17" s="2080"/>
      <c r="T17" s="2080"/>
      <c r="U17" s="2080"/>
      <c r="V17" s="214"/>
      <c r="W17" s="2065"/>
      <c r="X17" s="2065"/>
      <c r="Y17" s="2065"/>
      <c r="Z17" s="2065"/>
      <c r="AA17" s="210"/>
      <c r="AB17" s="215"/>
      <c r="AC17" s="877"/>
      <c r="AD17" s="877"/>
      <c r="AE17" s="877"/>
      <c r="AF17" s="877"/>
      <c r="AG17" s="877"/>
      <c r="AH17" s="877"/>
      <c r="AI17" s="877"/>
      <c r="AJ17" s="877"/>
      <c r="AK17" s="877"/>
      <c r="AL17" s="877"/>
      <c r="AM17" s="877"/>
      <c r="AN17" s="877"/>
      <c r="AO17" s="877"/>
      <c r="AP17" s="877"/>
      <c r="AX17" s="129"/>
    </row>
    <row r="18" spans="1:64" s="123" customFormat="1" ht="18" customHeight="1" x14ac:dyDescent="0.25">
      <c r="A18" s="210"/>
      <c r="B18" s="216"/>
      <c r="C18" s="2061" t="s">
        <v>1336</v>
      </c>
      <c r="D18" s="2062"/>
      <c r="E18" s="2062"/>
      <c r="F18" s="2062"/>
      <c r="G18" s="2062"/>
      <c r="H18" s="2062"/>
      <c r="I18" s="2062"/>
      <c r="J18" s="2062"/>
      <c r="K18" s="2062"/>
      <c r="L18" s="2062"/>
      <c r="M18" s="2062"/>
      <c r="N18" s="2062"/>
      <c r="O18" s="2062"/>
      <c r="P18" s="2062"/>
      <c r="Q18" s="2062"/>
      <c r="R18" s="2062"/>
      <c r="S18" s="2062"/>
      <c r="T18" s="2062"/>
      <c r="U18" s="2063"/>
      <c r="V18" s="210"/>
      <c r="W18" s="2064"/>
      <c r="X18" s="2065"/>
      <c r="Y18" s="2065"/>
      <c r="Z18" s="2066"/>
      <c r="AA18" s="210"/>
      <c r="AB18" s="875"/>
      <c r="AC18" s="94"/>
      <c r="AD18" s="94"/>
      <c r="AE18" s="94"/>
      <c r="AF18" s="94"/>
      <c r="AG18" s="94"/>
      <c r="AH18" s="94"/>
      <c r="AI18" s="94"/>
      <c r="AJ18" s="94"/>
      <c r="AK18" s="94"/>
      <c r="AL18" s="94"/>
      <c r="AM18" s="94"/>
      <c r="AN18" s="94"/>
      <c r="AO18" s="94"/>
      <c r="AP18" s="94"/>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s="123" customFormat="1" ht="18" customHeight="1" x14ac:dyDescent="0.25">
      <c r="A19" s="210"/>
      <c r="B19" s="216"/>
      <c r="C19" s="2061" t="s">
        <v>852</v>
      </c>
      <c r="D19" s="2062"/>
      <c r="E19" s="2062"/>
      <c r="F19" s="2062"/>
      <c r="G19" s="2062"/>
      <c r="H19" s="2062"/>
      <c r="I19" s="2062"/>
      <c r="J19" s="2062"/>
      <c r="K19" s="2062"/>
      <c r="L19" s="2062"/>
      <c r="M19" s="2062"/>
      <c r="N19" s="2062"/>
      <c r="O19" s="2062"/>
      <c r="P19" s="2062"/>
      <c r="Q19" s="2062"/>
      <c r="R19" s="2062"/>
      <c r="S19" s="2062"/>
      <c r="T19" s="2062"/>
      <c r="U19" s="2063"/>
      <c r="V19" s="210"/>
      <c r="W19" s="2064"/>
      <c r="X19" s="2065"/>
      <c r="Y19" s="2065"/>
      <c r="Z19" s="2066"/>
      <c r="AA19" s="210"/>
      <c r="AB19" s="215"/>
      <c r="AC19" s="94"/>
      <c r="AD19" s="94"/>
      <c r="AE19" s="94"/>
      <c r="AF19" s="94"/>
      <c r="AG19" s="94"/>
      <c r="AH19" s="94"/>
      <c r="AI19" s="94"/>
      <c r="AJ19" s="94"/>
      <c r="AK19" s="94"/>
      <c r="AL19" s="94"/>
      <c r="AM19" s="94"/>
      <c r="AN19" s="94"/>
      <c r="AO19" s="94"/>
      <c r="AP19" s="94"/>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s="123" customFormat="1" ht="18" customHeight="1" x14ac:dyDescent="0.25">
      <c r="A20" s="210"/>
      <c r="B20" s="216"/>
      <c r="C20" s="2061" t="s">
        <v>847</v>
      </c>
      <c r="D20" s="2062"/>
      <c r="E20" s="2062"/>
      <c r="F20" s="2062"/>
      <c r="G20" s="2062"/>
      <c r="H20" s="2062"/>
      <c r="I20" s="2062"/>
      <c r="J20" s="2062"/>
      <c r="K20" s="2062"/>
      <c r="L20" s="2062"/>
      <c r="M20" s="2062"/>
      <c r="N20" s="2062"/>
      <c r="O20" s="2062"/>
      <c r="P20" s="2062"/>
      <c r="Q20" s="2062"/>
      <c r="R20" s="2062"/>
      <c r="S20" s="2062"/>
      <c r="T20" s="2062"/>
      <c r="U20" s="2063"/>
      <c r="V20" s="210"/>
      <c r="W20" s="2064"/>
      <c r="X20" s="2065"/>
      <c r="Y20" s="2065"/>
      <c r="Z20" s="2066"/>
      <c r="AA20" s="210"/>
      <c r="AB20" s="215"/>
      <c r="AC20" s="94"/>
      <c r="AD20" s="94"/>
      <c r="AE20" s="94"/>
      <c r="AF20" s="94"/>
      <c r="AG20" s="94"/>
      <c r="AH20" s="94"/>
      <c r="AI20" s="94"/>
      <c r="AJ20" s="94"/>
      <c r="AK20" s="94"/>
      <c r="AL20" s="94"/>
      <c r="AM20" s="94"/>
      <c r="AN20" s="94"/>
      <c r="AO20" s="94"/>
      <c r="AP20" s="94"/>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s="123" customFormat="1" ht="18" customHeight="1" x14ac:dyDescent="0.25">
      <c r="A21" s="210"/>
      <c r="B21" s="216"/>
      <c r="C21" s="2061" t="s">
        <v>848</v>
      </c>
      <c r="D21" s="2062"/>
      <c r="E21" s="2062"/>
      <c r="F21" s="2062"/>
      <c r="G21" s="2062"/>
      <c r="H21" s="2062"/>
      <c r="I21" s="2062"/>
      <c r="J21" s="2062"/>
      <c r="K21" s="2062"/>
      <c r="L21" s="2062"/>
      <c r="M21" s="2062"/>
      <c r="N21" s="2062"/>
      <c r="O21" s="2062"/>
      <c r="P21" s="2062"/>
      <c r="Q21" s="2062"/>
      <c r="R21" s="2062"/>
      <c r="S21" s="2062"/>
      <c r="T21" s="2062"/>
      <c r="U21" s="2063"/>
      <c r="V21" s="210"/>
      <c r="W21" s="2064"/>
      <c r="X21" s="2065"/>
      <c r="Y21" s="2065"/>
      <c r="Z21" s="2066"/>
      <c r="AA21" s="210"/>
      <c r="AB21" s="215"/>
      <c r="AC21" s="94"/>
      <c r="AD21" s="94"/>
      <c r="AE21" s="94"/>
      <c r="AF21" s="94"/>
      <c r="AG21" s="94"/>
      <c r="AH21" s="94"/>
      <c r="AI21" s="94"/>
      <c r="AJ21" s="94"/>
      <c r="AK21" s="94"/>
      <c r="AL21" s="94"/>
      <c r="AM21" s="94"/>
      <c r="AN21" s="94"/>
      <c r="AO21" s="94"/>
      <c r="AP21" s="94"/>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s="123" customFormat="1" ht="18" customHeight="1" x14ac:dyDescent="0.25">
      <c r="A22" s="210"/>
      <c r="B22" s="216"/>
      <c r="C22" s="2061" t="s">
        <v>1375</v>
      </c>
      <c r="D22" s="2062"/>
      <c r="E22" s="2062"/>
      <c r="F22" s="2062"/>
      <c r="G22" s="2062"/>
      <c r="H22" s="2062"/>
      <c r="I22" s="2062"/>
      <c r="J22" s="2062"/>
      <c r="K22" s="2062"/>
      <c r="L22" s="2062"/>
      <c r="M22" s="2062"/>
      <c r="N22" s="2062"/>
      <c r="O22" s="2062"/>
      <c r="P22" s="2062"/>
      <c r="Q22" s="2062"/>
      <c r="R22" s="2062"/>
      <c r="S22" s="2062"/>
      <c r="T22" s="2062"/>
      <c r="U22" s="2063"/>
      <c r="V22" s="210"/>
      <c r="W22" s="2064"/>
      <c r="X22" s="2065"/>
      <c r="Y22" s="2065"/>
      <c r="Z22" s="2066"/>
      <c r="AA22" s="210"/>
      <c r="AB22" s="215"/>
      <c r="AC22" s="94"/>
      <c r="AD22" s="94"/>
      <c r="AE22" s="94"/>
      <c r="AF22" s="94"/>
      <c r="AG22" s="94"/>
      <c r="AH22" s="94"/>
      <c r="AI22" s="94"/>
      <c r="AJ22" s="94"/>
      <c r="AK22" s="94"/>
      <c r="AL22" s="94"/>
      <c r="AM22" s="94"/>
      <c r="AN22" s="94"/>
      <c r="AO22" s="94"/>
      <c r="AP22" s="94"/>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s="123" customFormat="1" ht="26.25" x14ac:dyDescent="0.4">
      <c r="A23" s="210"/>
      <c r="B23" s="861"/>
      <c r="C23" s="2069" t="s">
        <v>846</v>
      </c>
      <c r="D23" s="2069"/>
      <c r="E23" s="2069"/>
      <c r="F23" s="2069"/>
      <c r="G23" s="2069"/>
      <c r="H23" s="2069"/>
      <c r="I23" s="2069"/>
      <c r="J23" s="2069"/>
      <c r="K23" s="2069"/>
      <c r="L23" s="2069"/>
      <c r="M23" s="2069"/>
      <c r="N23" s="2069"/>
      <c r="O23" s="2069"/>
      <c r="P23" s="2069"/>
      <c r="Q23" s="2069"/>
      <c r="R23" s="2069"/>
      <c r="S23" s="2069"/>
      <c r="T23" s="2069"/>
      <c r="U23" s="2069"/>
      <c r="V23" s="210"/>
      <c r="W23" s="2068" t="s">
        <v>177</v>
      </c>
      <c r="X23" s="2068"/>
      <c r="Y23" s="2068"/>
      <c r="Z23" s="2068"/>
      <c r="AA23" s="215"/>
      <c r="AB23" s="215"/>
      <c r="AC23" s="94"/>
      <c r="AD23" s="94"/>
      <c r="AE23" s="94"/>
      <c r="AF23" s="94"/>
      <c r="AG23" s="94"/>
      <c r="AH23" s="94"/>
      <c r="AI23" s="94"/>
      <c r="AJ23" s="94"/>
      <c r="AK23" s="94"/>
      <c r="AL23" s="94"/>
      <c r="AM23" s="94"/>
      <c r="AN23" s="94"/>
      <c r="AO23" s="94"/>
      <c r="AP23" s="94"/>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s="878" customFormat="1" ht="18" customHeight="1" x14ac:dyDescent="0.25">
      <c r="A24" s="210"/>
      <c r="B24" s="216"/>
      <c r="C24" s="2061" t="s">
        <v>860</v>
      </c>
      <c r="D24" s="2062"/>
      <c r="E24" s="2062"/>
      <c r="F24" s="2062"/>
      <c r="G24" s="2062"/>
      <c r="H24" s="2062"/>
      <c r="I24" s="2062"/>
      <c r="J24" s="2062"/>
      <c r="K24" s="2062"/>
      <c r="L24" s="2062"/>
      <c r="M24" s="2062"/>
      <c r="N24" s="2062"/>
      <c r="O24" s="2062"/>
      <c r="P24" s="2067"/>
      <c r="Q24" s="2062"/>
      <c r="R24" s="2062"/>
      <c r="S24" s="2062"/>
      <c r="T24" s="2062"/>
      <c r="U24" s="2063"/>
      <c r="V24" s="210"/>
      <c r="W24" s="2064"/>
      <c r="X24" s="2065"/>
      <c r="Y24" s="2065"/>
      <c r="Z24" s="2066"/>
      <c r="AA24" s="210"/>
      <c r="AB24" s="215"/>
      <c r="AC24" s="877"/>
      <c r="AD24" s="877"/>
      <c r="AE24" s="877"/>
      <c r="AF24" s="877"/>
      <c r="AG24" s="877"/>
      <c r="AH24" s="877"/>
      <c r="AI24" s="877"/>
      <c r="AJ24" s="877"/>
      <c r="AK24" s="877"/>
      <c r="AL24" s="877"/>
      <c r="AM24" s="877"/>
      <c r="AN24" s="877"/>
      <c r="AO24" s="877"/>
      <c r="AP24" s="877"/>
      <c r="AQ24" s="876"/>
      <c r="AR24" s="876"/>
      <c r="AS24" s="876"/>
      <c r="AT24" s="876"/>
      <c r="AU24" s="876"/>
      <c r="AV24" s="876"/>
      <c r="AW24" s="876"/>
      <c r="AX24" s="876"/>
      <c r="AY24" s="876"/>
      <c r="AZ24" s="876"/>
      <c r="BA24" s="876"/>
      <c r="BB24" s="876"/>
      <c r="BC24" s="876"/>
      <c r="BD24" s="876"/>
      <c r="BE24" s="876"/>
      <c r="BF24" s="876"/>
      <c r="BG24" s="876"/>
      <c r="BH24" s="876"/>
      <c r="BI24" s="876"/>
      <c r="BJ24" s="876"/>
      <c r="BK24" s="876"/>
      <c r="BL24" s="876"/>
    </row>
    <row r="25" spans="1:64" s="123" customFormat="1" ht="18" customHeight="1" x14ac:dyDescent="0.25">
      <c r="A25" s="210"/>
      <c r="B25" s="216"/>
      <c r="C25" s="2061" t="s">
        <v>854</v>
      </c>
      <c r="D25" s="2062"/>
      <c r="E25" s="2062"/>
      <c r="F25" s="2062"/>
      <c r="G25" s="2062"/>
      <c r="H25" s="2062"/>
      <c r="I25" s="2062"/>
      <c r="J25" s="2062"/>
      <c r="K25" s="2062"/>
      <c r="L25" s="2062"/>
      <c r="M25" s="2062"/>
      <c r="N25" s="2062"/>
      <c r="O25" s="2062"/>
      <c r="P25" s="2067"/>
      <c r="Q25" s="2062"/>
      <c r="R25" s="2062"/>
      <c r="S25" s="2062"/>
      <c r="T25" s="2062"/>
      <c r="U25" s="2063"/>
      <c r="V25" s="210"/>
      <c r="W25" s="2064"/>
      <c r="X25" s="2065"/>
      <c r="Y25" s="2065"/>
      <c r="Z25" s="2066"/>
      <c r="AA25" s="210"/>
      <c r="AB25" s="215"/>
      <c r="AC25" s="94"/>
      <c r="AD25" s="94"/>
      <c r="AE25" s="94"/>
      <c r="AF25" s="94"/>
      <c r="AG25" s="94"/>
      <c r="AH25" s="94"/>
      <c r="AI25" s="94"/>
      <c r="AJ25" s="94"/>
      <c r="AK25" s="94"/>
      <c r="AL25" s="94"/>
      <c r="AM25" s="94"/>
      <c r="AN25" s="94"/>
      <c r="AO25" s="94"/>
      <c r="AP25" s="94"/>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s="123" customFormat="1" ht="18" customHeight="1" x14ac:dyDescent="0.25">
      <c r="A26" s="210"/>
      <c r="B26" s="216"/>
      <c r="C26" s="2061" t="s">
        <v>855</v>
      </c>
      <c r="D26" s="2062"/>
      <c r="E26" s="2062"/>
      <c r="F26" s="2062"/>
      <c r="G26" s="2062"/>
      <c r="H26" s="2062"/>
      <c r="I26" s="2062"/>
      <c r="J26" s="2062"/>
      <c r="K26" s="2062"/>
      <c r="L26" s="2062"/>
      <c r="M26" s="2062"/>
      <c r="N26" s="2062"/>
      <c r="O26" s="2062"/>
      <c r="P26" s="2067"/>
      <c r="Q26" s="2062"/>
      <c r="R26" s="2062"/>
      <c r="S26" s="2062"/>
      <c r="T26" s="2062"/>
      <c r="U26" s="2063"/>
      <c r="V26" s="210"/>
      <c r="W26" s="2064"/>
      <c r="X26" s="2065"/>
      <c r="Y26" s="2065"/>
      <c r="Z26" s="2066"/>
      <c r="AA26" s="210"/>
      <c r="AB26" s="215"/>
      <c r="AC26" s="94"/>
      <c r="AD26" s="94"/>
      <c r="AE26" s="94"/>
      <c r="AF26" s="94"/>
      <c r="AG26" s="94"/>
      <c r="AH26" s="94"/>
      <c r="AI26" s="94"/>
      <c r="AJ26" s="94"/>
      <c r="AK26" s="94"/>
      <c r="AL26" s="94"/>
      <c r="AM26" s="94"/>
      <c r="AN26" s="94"/>
      <c r="AO26" s="94"/>
      <c r="AP26" s="94"/>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s="123" customFormat="1" ht="26.25" x14ac:dyDescent="0.4">
      <c r="A27" s="210"/>
      <c r="B27" s="861"/>
      <c r="C27" s="2069" t="s">
        <v>849</v>
      </c>
      <c r="D27" s="2069"/>
      <c r="E27" s="2069"/>
      <c r="F27" s="2069"/>
      <c r="G27" s="2069"/>
      <c r="H27" s="2069"/>
      <c r="I27" s="2069"/>
      <c r="J27" s="2069"/>
      <c r="K27" s="2069"/>
      <c r="L27" s="2069"/>
      <c r="M27" s="2069"/>
      <c r="N27" s="2069"/>
      <c r="O27" s="2069"/>
      <c r="P27" s="2069"/>
      <c r="Q27" s="2069"/>
      <c r="R27" s="2069"/>
      <c r="S27" s="2069"/>
      <c r="T27" s="2069"/>
      <c r="U27" s="2069"/>
      <c r="V27" s="210"/>
      <c r="W27" s="2068" t="s">
        <v>177</v>
      </c>
      <c r="X27" s="2068"/>
      <c r="Y27" s="2068"/>
      <c r="Z27" s="2068"/>
      <c r="AA27" s="215"/>
      <c r="AB27" s="215"/>
      <c r="AC27" s="94"/>
      <c r="AD27" s="94"/>
      <c r="AE27" s="94"/>
      <c r="AF27" s="94"/>
      <c r="AG27" s="94"/>
      <c r="AH27" s="94"/>
      <c r="AI27" s="94"/>
      <c r="AJ27" s="94"/>
      <c r="AK27" s="94"/>
      <c r="AL27" s="94"/>
      <c r="AM27" s="94"/>
      <c r="AN27" s="94"/>
      <c r="AO27" s="94"/>
      <c r="AP27" s="94"/>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s="123" customFormat="1" ht="18" customHeight="1" x14ac:dyDescent="0.25">
      <c r="A28" s="210"/>
      <c r="B28" s="216"/>
      <c r="C28" s="2061" t="s">
        <v>856</v>
      </c>
      <c r="D28" s="2062"/>
      <c r="E28" s="2062"/>
      <c r="F28" s="2062"/>
      <c r="G28" s="2062"/>
      <c r="H28" s="2062"/>
      <c r="I28" s="2062"/>
      <c r="J28" s="2062"/>
      <c r="K28" s="2062"/>
      <c r="L28" s="2062"/>
      <c r="M28" s="2062"/>
      <c r="N28" s="2062"/>
      <c r="O28" s="2063"/>
      <c r="P28" s="2061"/>
      <c r="Q28" s="2062"/>
      <c r="R28" s="2062"/>
      <c r="S28" s="2062"/>
      <c r="T28" s="2062"/>
      <c r="U28" s="2063"/>
      <c r="V28" s="210"/>
      <c r="W28" s="2064"/>
      <c r="X28" s="2065"/>
      <c r="Y28" s="2065"/>
      <c r="Z28" s="2066"/>
      <c r="AA28" s="210"/>
      <c r="AB28" s="215"/>
      <c r="AC28" s="94"/>
      <c r="AD28" s="94"/>
      <c r="AE28" s="94"/>
      <c r="AF28" s="94"/>
      <c r="AG28" s="94"/>
      <c r="AH28" s="94"/>
      <c r="AI28" s="94"/>
      <c r="AJ28" s="94"/>
      <c r="AK28" s="94"/>
      <c r="AL28" s="94"/>
      <c r="AM28" s="94"/>
      <c r="AN28" s="94"/>
      <c r="AO28" s="94"/>
      <c r="AP28" s="94"/>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s="123" customFormat="1" ht="18" customHeight="1" x14ac:dyDescent="0.25">
      <c r="A29" s="210"/>
      <c r="B29" s="216"/>
      <c r="C29" s="2061" t="s">
        <v>1006</v>
      </c>
      <c r="D29" s="2062"/>
      <c r="E29" s="2062"/>
      <c r="F29" s="2062"/>
      <c r="G29" s="2062"/>
      <c r="H29" s="2062"/>
      <c r="I29" s="2062"/>
      <c r="J29" s="2062"/>
      <c r="K29" s="2062"/>
      <c r="L29" s="2062"/>
      <c r="M29" s="2062"/>
      <c r="N29" s="2062"/>
      <c r="O29" s="2063"/>
      <c r="P29" s="2061"/>
      <c r="Q29" s="2062"/>
      <c r="R29" s="2062"/>
      <c r="S29" s="2062"/>
      <c r="T29" s="2062"/>
      <c r="U29" s="2063"/>
      <c r="V29" s="210"/>
      <c r="W29" s="2064"/>
      <c r="X29" s="2065"/>
      <c r="Y29" s="2065"/>
      <c r="Z29" s="2066"/>
      <c r="AA29" s="210"/>
      <c r="AB29" s="215"/>
      <c r="AC29" s="94"/>
      <c r="AD29" s="94"/>
      <c r="AE29" s="94"/>
      <c r="AF29" s="94"/>
      <c r="AG29" s="94"/>
      <c r="AH29" s="94"/>
      <c r="AI29" s="94"/>
      <c r="AJ29" s="94"/>
      <c r="AK29" s="94"/>
      <c r="AL29" s="94"/>
      <c r="AM29" s="94"/>
      <c r="AN29" s="94"/>
      <c r="AO29" s="94"/>
      <c r="AP29" s="94"/>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s="123" customFormat="1" ht="18" customHeight="1" x14ac:dyDescent="0.25">
      <c r="A30" s="210"/>
      <c r="B30" s="216"/>
      <c r="C30" s="2061" t="s">
        <v>857</v>
      </c>
      <c r="D30" s="2062"/>
      <c r="E30" s="2062"/>
      <c r="F30" s="2062"/>
      <c r="G30" s="2062"/>
      <c r="H30" s="2062"/>
      <c r="I30" s="2062"/>
      <c r="J30" s="2062"/>
      <c r="K30" s="2062"/>
      <c r="L30" s="2062"/>
      <c r="M30" s="2062"/>
      <c r="N30" s="2062"/>
      <c r="O30" s="2063"/>
      <c r="P30" s="2061"/>
      <c r="Q30" s="2062"/>
      <c r="R30" s="2062"/>
      <c r="S30" s="2062"/>
      <c r="T30" s="2062"/>
      <c r="U30" s="2063"/>
      <c r="V30" s="210"/>
      <c r="W30" s="2064"/>
      <c r="X30" s="2065"/>
      <c r="Y30" s="2065"/>
      <c r="Z30" s="2066"/>
      <c r="AA30" s="210"/>
      <c r="AB30" s="875"/>
      <c r="AC30" s="94"/>
      <c r="AD30" s="94"/>
      <c r="AE30" s="94"/>
      <c r="AF30" s="94"/>
      <c r="AG30" s="94"/>
      <c r="AH30" s="94"/>
      <c r="AI30" s="94"/>
      <c r="AJ30" s="94"/>
      <c r="AK30" s="94"/>
      <c r="AL30" s="94"/>
      <c r="AM30" s="94"/>
      <c r="AN30" s="94"/>
      <c r="AO30" s="94"/>
      <c r="AP30" s="94"/>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s="878" customFormat="1" ht="18" customHeight="1" x14ac:dyDescent="0.25">
      <c r="A31" s="210"/>
      <c r="B31" s="216"/>
      <c r="C31" s="2061" t="s">
        <v>858</v>
      </c>
      <c r="D31" s="2062"/>
      <c r="E31" s="2062"/>
      <c r="F31" s="2062"/>
      <c r="G31" s="2062"/>
      <c r="H31" s="2062"/>
      <c r="I31" s="2062"/>
      <c r="J31" s="2062"/>
      <c r="K31" s="2062"/>
      <c r="L31" s="2062"/>
      <c r="M31" s="2062"/>
      <c r="N31" s="2062"/>
      <c r="O31" s="2063"/>
      <c r="P31" s="2061"/>
      <c r="Q31" s="2062"/>
      <c r="R31" s="2062"/>
      <c r="S31" s="2062"/>
      <c r="T31" s="2062"/>
      <c r="U31" s="2063"/>
      <c r="V31" s="210"/>
      <c r="W31" s="2064"/>
      <c r="X31" s="2065"/>
      <c r="Y31" s="2065"/>
      <c r="Z31" s="2066"/>
      <c r="AA31" s="210"/>
      <c r="AB31" s="215"/>
      <c r="AC31" s="877"/>
      <c r="AD31" s="877"/>
      <c r="AE31" s="877"/>
      <c r="AF31" s="877"/>
      <c r="AG31" s="877"/>
      <c r="AH31" s="877"/>
      <c r="AI31" s="877"/>
      <c r="AJ31" s="877"/>
      <c r="AK31" s="877"/>
      <c r="AL31" s="877"/>
      <c r="AM31" s="877"/>
      <c r="AN31" s="877"/>
      <c r="AO31" s="877"/>
      <c r="AP31" s="877"/>
      <c r="AQ31" s="876"/>
      <c r="AR31" s="876"/>
      <c r="AS31" s="876"/>
      <c r="AT31" s="876"/>
      <c r="AU31" s="876"/>
      <c r="AV31" s="876"/>
      <c r="AW31" s="876"/>
      <c r="AX31" s="876"/>
      <c r="AY31" s="876"/>
      <c r="AZ31" s="876"/>
      <c r="BA31" s="876"/>
      <c r="BB31" s="876"/>
      <c r="BC31" s="876"/>
      <c r="BD31" s="876"/>
      <c r="BE31" s="876"/>
      <c r="BF31" s="876"/>
      <c r="BG31" s="876"/>
      <c r="BH31" s="876"/>
      <c r="BI31" s="876"/>
      <c r="BJ31" s="876"/>
      <c r="BK31" s="876"/>
      <c r="BL31" s="876"/>
    </row>
    <row r="32" spans="1:64" s="123" customFormat="1" ht="18" customHeight="1" x14ac:dyDescent="0.25">
      <c r="A32" s="210"/>
      <c r="B32" s="216"/>
      <c r="C32" s="2061" t="s">
        <v>1411</v>
      </c>
      <c r="D32" s="2062"/>
      <c r="E32" s="2062"/>
      <c r="F32" s="2062"/>
      <c r="G32" s="2062"/>
      <c r="H32" s="2062"/>
      <c r="I32" s="2062"/>
      <c r="J32" s="2062"/>
      <c r="K32" s="2062"/>
      <c r="L32" s="2062"/>
      <c r="M32" s="2062"/>
      <c r="N32" s="2062"/>
      <c r="O32" s="2063"/>
      <c r="P32" s="2061" t="str">
        <f>IF(Profile!G5="","",CONCATENATE(+Servicing!P33," ",TEXT(Servicing!V33,"$#,##0")))</f>
        <v/>
      </c>
      <c r="Q32" s="2062"/>
      <c r="R32" s="2062"/>
      <c r="S32" s="2062"/>
      <c r="T32" s="2062"/>
      <c r="U32" s="2063"/>
      <c r="V32" s="210"/>
      <c r="W32" s="2064"/>
      <c r="X32" s="2065"/>
      <c r="Y32" s="2065"/>
      <c r="Z32" s="2066"/>
      <c r="AA32" s="210"/>
      <c r="AB32" s="215"/>
      <c r="AC32" s="94"/>
      <c r="AD32" s="94"/>
      <c r="AE32" s="94"/>
      <c r="AF32" s="94"/>
      <c r="AG32" s="94"/>
      <c r="AH32" s="94"/>
      <c r="AI32" s="94"/>
      <c r="AJ32" s="94"/>
      <c r="AK32" s="94"/>
      <c r="AL32" s="94"/>
      <c r="AM32" s="94"/>
      <c r="AN32" s="94"/>
      <c r="AO32" s="94"/>
      <c r="AP32" s="94"/>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s="123" customFormat="1" ht="18" customHeight="1" x14ac:dyDescent="0.25">
      <c r="A33" s="210"/>
      <c r="B33" s="216"/>
      <c r="C33" s="2061" t="s">
        <v>859</v>
      </c>
      <c r="D33" s="2062"/>
      <c r="E33" s="2062"/>
      <c r="F33" s="2062"/>
      <c r="G33" s="2062"/>
      <c r="H33" s="2062"/>
      <c r="I33" s="2062"/>
      <c r="J33" s="2062"/>
      <c r="K33" s="2062"/>
      <c r="L33" s="2062"/>
      <c r="M33" s="2062"/>
      <c r="N33" s="2062"/>
      <c r="O33" s="2063"/>
      <c r="P33" s="2061"/>
      <c r="Q33" s="2062"/>
      <c r="R33" s="2062"/>
      <c r="S33" s="2062"/>
      <c r="T33" s="2062"/>
      <c r="U33" s="2063"/>
      <c r="V33" s="210"/>
      <c r="W33" s="2064"/>
      <c r="X33" s="2065"/>
      <c r="Y33" s="2065"/>
      <c r="Z33" s="2066"/>
      <c r="AA33" s="210"/>
      <c r="AB33" s="215"/>
      <c r="AC33" s="94"/>
      <c r="AD33" s="94"/>
      <c r="AE33" s="94"/>
      <c r="AF33" s="94"/>
      <c r="AG33" s="94"/>
      <c r="AH33" s="94"/>
      <c r="AI33" s="94"/>
      <c r="AJ33" s="94"/>
      <c r="AK33" s="94"/>
      <c r="AL33" s="94"/>
      <c r="AM33" s="94"/>
      <c r="AN33" s="94"/>
      <c r="AO33" s="94"/>
      <c r="AP33" s="94"/>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s="123" customFormat="1" ht="26.25" x14ac:dyDescent="0.2">
      <c r="A34" s="210"/>
      <c r="B34" s="861"/>
      <c r="C34" s="2071" t="s">
        <v>850</v>
      </c>
      <c r="D34" s="2071"/>
      <c r="E34" s="2071"/>
      <c r="F34" s="2071"/>
      <c r="G34" s="2071"/>
      <c r="H34" s="2071"/>
      <c r="I34" s="2071"/>
      <c r="J34" s="2071"/>
      <c r="K34" s="2071"/>
      <c r="L34" s="2071"/>
      <c r="M34" s="2071"/>
      <c r="N34" s="2071"/>
      <c r="O34" s="2071"/>
      <c r="P34" s="2071"/>
      <c r="Q34" s="2071"/>
      <c r="R34" s="2071"/>
      <c r="S34" s="2071"/>
      <c r="T34" s="2071"/>
      <c r="U34" s="2071"/>
      <c r="V34" s="210"/>
      <c r="W34" s="2068" t="s">
        <v>177</v>
      </c>
      <c r="X34" s="2068"/>
      <c r="Y34" s="2068"/>
      <c r="Z34" s="2068"/>
      <c r="AA34" s="210"/>
      <c r="AB34" s="215"/>
      <c r="AC34" s="94"/>
      <c r="AD34" s="94"/>
      <c r="AE34" s="94"/>
      <c r="AF34" s="94"/>
      <c r="AG34" s="94"/>
      <c r="AH34" s="94"/>
      <c r="AI34" s="94"/>
      <c r="AJ34" s="94"/>
      <c r="AK34" s="94"/>
      <c r="AL34" s="94"/>
      <c r="AM34" s="94"/>
      <c r="AN34" s="94"/>
      <c r="AO34" s="94"/>
      <c r="AP34" s="94"/>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s="123" customFormat="1" ht="18" customHeight="1" x14ac:dyDescent="0.25">
      <c r="A35" s="210"/>
      <c r="B35" s="216">
        <v>1</v>
      </c>
      <c r="C35" s="2061" t="s">
        <v>1337</v>
      </c>
      <c r="D35" s="2062"/>
      <c r="E35" s="2062"/>
      <c r="F35" s="2062"/>
      <c r="G35" s="2062"/>
      <c r="H35" s="2062"/>
      <c r="I35" s="2062"/>
      <c r="J35" s="2062"/>
      <c r="K35" s="2062"/>
      <c r="L35" s="2062"/>
      <c r="M35" s="2062"/>
      <c r="N35" s="2062"/>
      <c r="O35" s="2062"/>
      <c r="P35" s="2062"/>
      <c r="Q35" s="2062"/>
      <c r="R35" s="2062"/>
      <c r="S35" s="2062"/>
      <c r="T35" s="2062"/>
      <c r="U35" s="2063"/>
      <c r="V35" s="210"/>
      <c r="W35" s="2064"/>
      <c r="X35" s="2065"/>
      <c r="Y35" s="2065"/>
      <c r="Z35" s="2066"/>
      <c r="AA35" s="210"/>
      <c r="AB35" s="215"/>
      <c r="AC35" s="94"/>
      <c r="AD35" s="94"/>
      <c r="AE35" s="94"/>
      <c r="AF35" s="94"/>
      <c r="AG35" s="94"/>
      <c r="AH35" s="94"/>
      <c r="AI35" s="94"/>
      <c r="AJ35" s="94"/>
      <c r="AK35" s="94"/>
      <c r="AL35" s="94"/>
      <c r="AM35" s="94"/>
      <c r="AN35" s="94"/>
      <c r="AO35" s="94"/>
      <c r="AP35" s="94"/>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s="123" customFormat="1" ht="18" customHeight="1" x14ac:dyDescent="0.25">
      <c r="A36" s="210"/>
      <c r="B36" s="216"/>
      <c r="C36" s="2061"/>
      <c r="D36" s="2062"/>
      <c r="E36" s="2062"/>
      <c r="F36" s="2062"/>
      <c r="G36" s="2062"/>
      <c r="H36" s="2062"/>
      <c r="I36" s="2062"/>
      <c r="J36" s="2062"/>
      <c r="K36" s="2062"/>
      <c r="L36" s="2062"/>
      <c r="M36" s="2062"/>
      <c r="N36" s="2062"/>
      <c r="O36" s="2062"/>
      <c r="P36" s="2062"/>
      <c r="Q36" s="2062"/>
      <c r="R36" s="2062"/>
      <c r="S36" s="2062"/>
      <c r="T36" s="2062"/>
      <c r="U36" s="2063"/>
      <c r="V36" s="210"/>
      <c r="W36" s="2064"/>
      <c r="X36" s="2065"/>
      <c r="Y36" s="2065"/>
      <c r="Z36" s="2066"/>
      <c r="AA36" s="210"/>
      <c r="AB36" s="215"/>
      <c r="AC36" s="94"/>
      <c r="AD36" s="94"/>
      <c r="AE36" s="94"/>
      <c r="AF36" s="94"/>
      <c r="AG36" s="94"/>
      <c r="AH36" s="94"/>
      <c r="AI36" s="94"/>
      <c r="AJ36" s="94"/>
      <c r="AK36" s="94"/>
      <c r="AL36" s="94"/>
      <c r="AM36" s="94"/>
      <c r="AN36" s="94"/>
      <c r="AO36" s="94"/>
      <c r="AP36" s="94"/>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s="123" customFormat="1" ht="18" customHeight="1" x14ac:dyDescent="0.25">
      <c r="A37" s="210"/>
      <c r="B37" s="216"/>
      <c r="C37" s="2061"/>
      <c r="D37" s="2062"/>
      <c r="E37" s="2062"/>
      <c r="F37" s="2062"/>
      <c r="G37" s="2062"/>
      <c r="H37" s="2062"/>
      <c r="I37" s="2062"/>
      <c r="J37" s="2062"/>
      <c r="K37" s="2062"/>
      <c r="L37" s="2062"/>
      <c r="M37" s="2062"/>
      <c r="N37" s="2062"/>
      <c r="O37" s="2062"/>
      <c r="P37" s="2062"/>
      <c r="Q37" s="2062"/>
      <c r="R37" s="2062"/>
      <c r="S37" s="2062"/>
      <c r="T37" s="2062"/>
      <c r="U37" s="2063"/>
      <c r="V37" s="210"/>
      <c r="W37" s="2064"/>
      <c r="X37" s="2065"/>
      <c r="Y37" s="2065"/>
      <c r="Z37" s="2066"/>
      <c r="AA37" s="210"/>
      <c r="AB37" s="215"/>
      <c r="AC37" s="94"/>
      <c r="AD37" s="94"/>
      <c r="AE37" s="94"/>
      <c r="AF37" s="94"/>
      <c r="AG37" s="94"/>
      <c r="AH37" s="94"/>
      <c r="AI37" s="94"/>
      <c r="AJ37" s="94"/>
      <c r="AK37" s="94"/>
      <c r="AL37" s="94"/>
      <c r="AM37" s="94"/>
      <c r="AN37" s="94"/>
      <c r="AO37" s="94"/>
      <c r="AP37" s="94"/>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s="94" customFormat="1" ht="18" customHeight="1" x14ac:dyDescent="0.25">
      <c r="A38" s="210"/>
      <c r="B38" s="216"/>
      <c r="C38" s="2061"/>
      <c r="D38" s="2062"/>
      <c r="E38" s="2062"/>
      <c r="F38" s="2062"/>
      <c r="G38" s="2062"/>
      <c r="H38" s="2062"/>
      <c r="I38" s="2062"/>
      <c r="J38" s="2062"/>
      <c r="K38" s="2062"/>
      <c r="L38" s="2062"/>
      <c r="M38" s="2062"/>
      <c r="N38" s="2062"/>
      <c r="O38" s="2062"/>
      <c r="P38" s="2062"/>
      <c r="Q38" s="2062"/>
      <c r="R38" s="2062"/>
      <c r="S38" s="2062"/>
      <c r="T38" s="2062"/>
      <c r="U38" s="2063"/>
      <c r="V38" s="210"/>
      <c r="W38" s="2064"/>
      <c r="X38" s="2065"/>
      <c r="Y38" s="2065"/>
      <c r="Z38" s="2066"/>
      <c r="AA38" s="210"/>
      <c r="AB38" s="123"/>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s="94" customFormat="1" ht="18" customHeight="1" x14ac:dyDescent="0.25">
      <c r="A39" s="210"/>
      <c r="B39" s="2070"/>
      <c r="C39" s="2070"/>
      <c r="D39" s="2070"/>
      <c r="E39" s="2070"/>
      <c r="F39" s="2070"/>
      <c r="G39" s="2070"/>
      <c r="H39" s="2070"/>
      <c r="I39" s="2070"/>
      <c r="J39" s="2070"/>
      <c r="K39" s="2070"/>
      <c r="L39" s="2070"/>
      <c r="M39" s="2070"/>
      <c r="N39" s="2070"/>
      <c r="O39" s="2070"/>
      <c r="P39" s="2070"/>
      <c r="Q39" s="2070"/>
      <c r="R39" s="2070"/>
      <c r="S39" s="2070"/>
      <c r="T39" s="2070"/>
      <c r="U39" s="2070"/>
      <c r="V39" s="2070"/>
      <c r="W39" s="2070"/>
      <c r="X39" s="2070"/>
      <c r="Y39" s="2070"/>
      <c r="Z39" s="2070"/>
      <c r="AA39" s="210"/>
      <c r="AB39" s="123"/>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s="94" customFormat="1" ht="18" customHeight="1" x14ac:dyDescent="0.25">
      <c r="A40" s="210"/>
      <c r="B40" s="210"/>
      <c r="C40" s="210"/>
      <c r="D40" s="210"/>
      <c r="E40" s="210"/>
      <c r="F40" s="210"/>
      <c r="G40" s="210"/>
      <c r="H40" s="210"/>
      <c r="I40" s="210"/>
      <c r="J40" s="210"/>
      <c r="K40" s="210"/>
      <c r="L40" s="210"/>
      <c r="M40" s="210"/>
      <c r="N40" s="210"/>
      <c r="O40" s="214"/>
      <c r="P40" s="210"/>
      <c r="Q40" s="210"/>
      <c r="R40" s="210"/>
      <c r="S40" s="210"/>
      <c r="T40" s="210"/>
      <c r="U40" s="210"/>
      <c r="V40" s="210"/>
      <c r="W40" s="210"/>
      <c r="X40" s="210"/>
      <c r="Y40" s="210"/>
      <c r="Z40" s="210"/>
      <c r="AA40" s="210"/>
      <c r="AB40" s="123"/>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s="94" customFormat="1" ht="18" customHeight="1" x14ac:dyDescent="0.25">
      <c r="A41" s="210"/>
      <c r="B41" s="210"/>
      <c r="C41" s="210"/>
      <c r="D41" s="210"/>
      <c r="E41" s="210"/>
      <c r="F41" s="210"/>
      <c r="G41" s="210"/>
      <c r="H41" s="210"/>
      <c r="I41" s="210"/>
      <c r="J41" s="210"/>
      <c r="K41" s="210"/>
      <c r="L41" s="210"/>
      <c r="M41" s="210"/>
      <c r="N41" s="210"/>
      <c r="O41" s="214"/>
      <c r="P41" s="210"/>
      <c r="Q41" s="210"/>
      <c r="R41" s="210"/>
      <c r="S41" s="210"/>
      <c r="T41" s="210"/>
      <c r="U41" s="210"/>
      <c r="V41" s="210"/>
      <c r="W41" s="210"/>
      <c r="X41" s="210"/>
      <c r="Y41" s="210"/>
      <c r="Z41" s="210"/>
      <c r="AA41" s="210"/>
      <c r="AB41" s="123"/>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s="94" customFormat="1" ht="18.75" customHeight="1" x14ac:dyDescent="0.25">
      <c r="A42" s="210"/>
      <c r="B42" s="210"/>
      <c r="C42" s="210"/>
      <c r="D42" s="210"/>
      <c r="E42" s="210"/>
      <c r="F42" s="210"/>
      <c r="G42" s="210"/>
      <c r="H42" s="210"/>
      <c r="I42" s="210"/>
      <c r="J42" s="210"/>
      <c r="K42" s="210"/>
      <c r="L42" s="210"/>
      <c r="M42" s="210"/>
      <c r="N42" s="210"/>
      <c r="O42" s="214"/>
      <c r="P42" s="210"/>
      <c r="Q42" s="210"/>
      <c r="R42" s="210"/>
      <c r="S42" s="210"/>
      <c r="T42" s="210"/>
      <c r="U42" s="210"/>
      <c r="V42" s="210"/>
      <c r="W42" s="210"/>
      <c r="X42" s="210"/>
      <c r="Y42" s="210"/>
      <c r="Z42" s="210"/>
      <c r="AA42" s="210"/>
      <c r="AB42" s="123"/>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8.75" customHeight="1" x14ac:dyDescent="0.25">
      <c r="A43" s="210"/>
      <c r="B43" s="210"/>
      <c r="C43" s="210"/>
      <c r="D43" s="210"/>
      <c r="E43" s="210"/>
      <c r="F43" s="210"/>
      <c r="G43" s="210"/>
      <c r="H43" s="210"/>
      <c r="I43" s="210"/>
      <c r="J43" s="210"/>
      <c r="K43" s="210"/>
      <c r="L43" s="210"/>
      <c r="M43" s="210"/>
      <c r="N43" s="210"/>
      <c r="O43" s="214"/>
      <c r="P43" s="210"/>
      <c r="Q43" s="210"/>
      <c r="R43" s="210"/>
      <c r="S43" s="210"/>
      <c r="T43" s="210"/>
      <c r="U43" s="210"/>
      <c r="V43" s="210"/>
      <c r="W43" s="210"/>
      <c r="X43" s="210"/>
      <c r="Y43" s="210"/>
      <c r="Z43" s="210"/>
      <c r="AA43" s="210"/>
    </row>
    <row r="44" spans="1:64" ht="18.75" customHeight="1" x14ac:dyDescent="0.25">
      <c r="A44" s="210"/>
      <c r="B44" s="210"/>
      <c r="C44" s="210"/>
      <c r="D44" s="210"/>
      <c r="E44" s="210"/>
      <c r="F44" s="210"/>
      <c r="G44" s="210"/>
      <c r="H44" s="210"/>
      <c r="I44" s="210"/>
      <c r="J44" s="210"/>
      <c r="K44" s="210"/>
      <c r="L44" s="210"/>
      <c r="M44" s="210"/>
      <c r="N44" s="210"/>
      <c r="O44" s="214"/>
      <c r="P44" s="210"/>
      <c r="Q44" s="210"/>
      <c r="R44" s="210"/>
      <c r="S44" s="210"/>
      <c r="T44" s="210"/>
      <c r="U44" s="210"/>
      <c r="V44" s="210"/>
      <c r="W44" s="210"/>
      <c r="X44" s="210"/>
      <c r="Y44" s="210"/>
      <c r="Z44" s="210"/>
      <c r="AA44" s="210"/>
    </row>
    <row r="45" spans="1:64" ht="18.75" customHeight="1" x14ac:dyDescent="0.25">
      <c r="A45" s="210"/>
      <c r="B45" s="210"/>
      <c r="C45" s="210"/>
      <c r="D45" s="210"/>
      <c r="E45" s="210"/>
      <c r="F45" s="210"/>
      <c r="G45" s="210"/>
      <c r="H45" s="210"/>
      <c r="I45" s="210"/>
      <c r="J45" s="210"/>
      <c r="K45" s="210"/>
      <c r="L45" s="210"/>
      <c r="M45" s="210"/>
      <c r="N45" s="210"/>
      <c r="O45" s="214"/>
      <c r="P45" s="210"/>
      <c r="Q45" s="210"/>
      <c r="R45" s="210"/>
      <c r="S45" s="210"/>
      <c r="T45" s="210"/>
      <c r="U45" s="210"/>
      <c r="V45" s="210"/>
      <c r="W45" s="210"/>
      <c r="X45" s="210"/>
      <c r="Y45" s="210"/>
      <c r="Z45" s="210"/>
      <c r="AA45" s="210"/>
    </row>
    <row r="46" spans="1:64" ht="18.75" customHeight="1" x14ac:dyDescent="0.25">
      <c r="B46" s="210"/>
      <c r="C46" s="210"/>
      <c r="D46" s="210"/>
      <c r="E46" s="210"/>
      <c r="F46" s="210"/>
      <c r="G46" s="210"/>
      <c r="H46" s="210"/>
      <c r="I46" s="210"/>
      <c r="J46" s="210"/>
      <c r="K46" s="210"/>
      <c r="L46" s="210"/>
      <c r="M46" s="210"/>
      <c r="N46" s="210"/>
      <c r="O46" s="214"/>
      <c r="P46" s="210"/>
      <c r="Q46" s="210"/>
      <c r="R46" s="210"/>
      <c r="S46" s="210"/>
      <c r="T46" s="210"/>
      <c r="U46" s="210"/>
      <c r="V46" s="210"/>
      <c r="W46" s="210"/>
      <c r="X46" s="210"/>
      <c r="Y46" s="210"/>
      <c r="Z46" s="210"/>
    </row>
    <row r="47" spans="1:64" ht="18.75" customHeight="1" x14ac:dyDescent="0.25">
      <c r="B47" s="210"/>
      <c r="C47" s="210"/>
      <c r="D47" s="210"/>
      <c r="E47" s="210"/>
      <c r="F47" s="210"/>
      <c r="G47" s="210"/>
      <c r="H47" s="210"/>
      <c r="I47" s="210"/>
      <c r="J47" s="210"/>
      <c r="K47" s="210"/>
      <c r="L47" s="210"/>
      <c r="M47" s="210"/>
      <c r="N47" s="210"/>
      <c r="O47" s="214"/>
      <c r="P47" s="210"/>
      <c r="Q47" s="210"/>
      <c r="R47" s="210"/>
      <c r="S47" s="210"/>
      <c r="T47" s="210"/>
      <c r="U47" s="210"/>
      <c r="V47" s="210"/>
      <c r="W47" s="210"/>
      <c r="X47" s="210"/>
      <c r="Y47" s="210"/>
      <c r="Z47" s="210"/>
    </row>
    <row r="48" spans="1:64" ht="18.75" customHeight="1" x14ac:dyDescent="0.25">
      <c r="B48" s="210"/>
      <c r="C48" s="210"/>
      <c r="D48" s="210"/>
      <c r="E48" s="210"/>
      <c r="F48" s="210"/>
      <c r="G48" s="210"/>
      <c r="H48" s="210"/>
      <c r="I48" s="210"/>
      <c r="J48" s="210"/>
      <c r="K48" s="210"/>
      <c r="L48" s="210"/>
      <c r="M48" s="210"/>
      <c r="N48" s="210"/>
      <c r="O48" s="214"/>
      <c r="P48" s="210"/>
      <c r="Q48" s="210"/>
      <c r="R48" s="210"/>
      <c r="S48" s="210"/>
      <c r="T48" s="210"/>
      <c r="U48" s="210"/>
      <c r="V48" s="210"/>
      <c r="W48" s="210"/>
      <c r="X48" s="210"/>
      <c r="Y48" s="210"/>
      <c r="Z48" s="210"/>
    </row>
    <row r="49" spans="2:26" ht="18.75" customHeight="1" x14ac:dyDescent="0.25">
      <c r="B49" s="210"/>
      <c r="C49" s="210"/>
      <c r="D49" s="210"/>
      <c r="E49" s="210"/>
      <c r="F49" s="210"/>
      <c r="G49" s="210"/>
      <c r="H49" s="210"/>
      <c r="I49" s="210"/>
      <c r="J49" s="210"/>
      <c r="K49" s="210"/>
      <c r="L49" s="210"/>
      <c r="M49" s="210"/>
      <c r="N49" s="210"/>
      <c r="O49" s="214"/>
      <c r="P49" s="210"/>
      <c r="Q49" s="210"/>
      <c r="R49" s="210"/>
      <c r="S49" s="210"/>
      <c r="T49" s="210"/>
      <c r="U49" s="210"/>
      <c r="V49" s="210"/>
      <c r="W49" s="210"/>
      <c r="X49" s="210"/>
      <c r="Y49" s="210"/>
      <c r="Z49" s="210"/>
    </row>
    <row r="50" spans="2:26" ht="18.75" customHeight="1" x14ac:dyDescent="0.25">
      <c r="B50" s="210"/>
      <c r="C50" s="210"/>
      <c r="D50" s="210"/>
      <c r="E50" s="210"/>
      <c r="F50" s="210"/>
      <c r="G50" s="210"/>
      <c r="H50" s="210"/>
      <c r="I50" s="210"/>
      <c r="J50" s="210"/>
      <c r="K50" s="210"/>
      <c r="L50" s="210"/>
      <c r="M50" s="210"/>
      <c r="N50" s="210"/>
      <c r="O50" s="214"/>
      <c r="P50" s="210"/>
      <c r="Q50" s="210"/>
      <c r="R50" s="210"/>
      <c r="S50" s="210"/>
      <c r="T50" s="210"/>
      <c r="U50" s="210"/>
      <c r="V50" s="210"/>
      <c r="W50" s="210"/>
      <c r="X50" s="210"/>
      <c r="Y50" s="210"/>
      <c r="Z50" s="210"/>
    </row>
    <row r="51" spans="2:26" ht="18.75" customHeight="1" x14ac:dyDescent="0.25">
      <c r="B51" s="210"/>
      <c r="C51" s="210"/>
      <c r="D51" s="210"/>
      <c r="E51" s="210"/>
      <c r="F51" s="210"/>
      <c r="G51" s="210"/>
      <c r="H51" s="210"/>
      <c r="I51" s="210"/>
      <c r="J51" s="210"/>
      <c r="K51" s="210"/>
      <c r="L51" s="210"/>
      <c r="M51" s="210"/>
      <c r="N51" s="210"/>
      <c r="O51" s="214"/>
      <c r="P51" s="210"/>
      <c r="Q51" s="210"/>
      <c r="R51" s="210"/>
      <c r="S51" s="210"/>
      <c r="T51" s="210"/>
      <c r="U51" s="210"/>
      <c r="V51" s="210"/>
      <c r="W51" s="210"/>
      <c r="X51" s="210"/>
      <c r="Y51" s="210"/>
      <c r="Z51" s="210"/>
    </row>
    <row r="52" spans="2:26" ht="18.75" customHeight="1" x14ac:dyDescent="0.25">
      <c r="B52" s="210"/>
      <c r="C52" s="210"/>
      <c r="D52" s="210"/>
      <c r="E52" s="210"/>
      <c r="F52" s="210"/>
      <c r="G52" s="210"/>
      <c r="H52" s="210"/>
      <c r="I52" s="210"/>
      <c r="J52" s="210"/>
      <c r="K52" s="210"/>
      <c r="L52" s="210"/>
      <c r="M52" s="210"/>
      <c r="N52" s="210"/>
      <c r="O52" s="214"/>
      <c r="P52" s="210"/>
      <c r="Q52" s="210"/>
      <c r="R52" s="210"/>
      <c r="S52" s="210"/>
      <c r="T52" s="210"/>
      <c r="U52" s="210"/>
      <c r="V52" s="210"/>
      <c r="W52" s="210"/>
      <c r="X52" s="210"/>
      <c r="Y52" s="210"/>
      <c r="Z52" s="210"/>
    </row>
    <row r="53" spans="2:26" ht="18.75" customHeight="1" x14ac:dyDescent="0.25">
      <c r="B53" s="210"/>
      <c r="C53" s="210"/>
      <c r="D53" s="210"/>
      <c r="E53" s="210"/>
      <c r="F53" s="210"/>
      <c r="G53" s="210"/>
      <c r="H53" s="210"/>
      <c r="I53" s="210"/>
      <c r="J53" s="210"/>
      <c r="K53" s="210"/>
      <c r="L53" s="210"/>
      <c r="M53" s="210"/>
      <c r="N53" s="210"/>
      <c r="O53" s="214"/>
      <c r="P53" s="210"/>
      <c r="Q53" s="210"/>
      <c r="R53" s="210"/>
      <c r="S53" s="210"/>
      <c r="T53" s="210"/>
      <c r="U53" s="210"/>
      <c r="V53" s="210"/>
      <c r="W53" s="210"/>
      <c r="X53" s="210"/>
      <c r="Y53" s="210"/>
      <c r="Z53" s="210"/>
    </row>
    <row r="54" spans="2:26" ht="18.75" customHeight="1" x14ac:dyDescent="0.25">
      <c r="B54" s="210"/>
      <c r="C54" s="210"/>
      <c r="D54" s="210"/>
      <c r="E54" s="210"/>
      <c r="F54" s="210"/>
      <c r="G54" s="210"/>
      <c r="H54" s="210"/>
      <c r="I54" s="210"/>
      <c r="J54" s="210"/>
      <c r="K54" s="210"/>
      <c r="L54" s="210"/>
      <c r="M54" s="210"/>
      <c r="N54" s="210"/>
      <c r="O54" s="214"/>
      <c r="P54" s="210"/>
      <c r="Q54" s="210"/>
      <c r="R54" s="210"/>
      <c r="S54" s="210"/>
      <c r="T54" s="210"/>
      <c r="U54" s="210"/>
      <c r="V54" s="210"/>
      <c r="W54" s="210"/>
      <c r="X54" s="210"/>
      <c r="Y54" s="210"/>
      <c r="Z54" s="210"/>
    </row>
    <row r="55" spans="2:26" ht="18.75" customHeight="1" x14ac:dyDescent="0.25">
      <c r="B55" s="210"/>
      <c r="C55" s="210"/>
      <c r="D55" s="210"/>
      <c r="E55" s="210"/>
      <c r="F55" s="210"/>
      <c r="G55" s="210"/>
      <c r="H55" s="210"/>
      <c r="I55" s="210"/>
      <c r="J55" s="210"/>
      <c r="K55" s="210"/>
      <c r="L55" s="210"/>
      <c r="M55" s="210"/>
      <c r="N55" s="210"/>
      <c r="O55" s="214"/>
      <c r="P55" s="210"/>
      <c r="Q55" s="210"/>
      <c r="R55" s="210"/>
      <c r="S55" s="210"/>
      <c r="T55" s="210"/>
      <c r="U55" s="210"/>
      <c r="V55" s="210"/>
      <c r="W55" s="210"/>
      <c r="X55" s="210"/>
      <c r="Y55" s="210"/>
      <c r="Z55" s="210"/>
    </row>
    <row r="56" spans="2:26" ht="18.75" customHeight="1" x14ac:dyDescent="0.25">
      <c r="B56" s="210"/>
      <c r="C56" s="210"/>
      <c r="D56" s="210"/>
      <c r="E56" s="210"/>
      <c r="F56" s="210"/>
      <c r="G56" s="210"/>
      <c r="H56" s="210"/>
      <c r="I56" s="210"/>
      <c r="J56" s="210"/>
      <c r="K56" s="210"/>
      <c r="L56" s="210"/>
      <c r="M56" s="210"/>
      <c r="N56" s="210"/>
      <c r="O56" s="214"/>
      <c r="P56" s="210"/>
      <c r="Q56" s="210"/>
      <c r="R56" s="210"/>
      <c r="S56" s="210"/>
      <c r="T56" s="210"/>
      <c r="U56" s="210"/>
      <c r="V56" s="210"/>
      <c r="W56" s="210"/>
      <c r="X56" s="210"/>
      <c r="Y56" s="210"/>
      <c r="Z56" s="210"/>
    </row>
    <row r="57" spans="2:26" ht="18.75" customHeight="1" x14ac:dyDescent="0.25">
      <c r="B57" s="210"/>
      <c r="C57" s="210"/>
      <c r="D57" s="210"/>
      <c r="E57" s="210"/>
      <c r="F57" s="210"/>
      <c r="G57" s="210"/>
      <c r="H57" s="210"/>
      <c r="I57" s="210"/>
      <c r="J57" s="210"/>
      <c r="K57" s="210"/>
      <c r="L57" s="210"/>
      <c r="M57" s="210"/>
      <c r="N57" s="210"/>
      <c r="O57" s="214"/>
      <c r="P57" s="210"/>
      <c r="Q57" s="210"/>
      <c r="R57" s="210"/>
      <c r="S57" s="210"/>
      <c r="T57" s="210"/>
      <c r="U57" s="210"/>
      <c r="V57" s="210"/>
      <c r="W57" s="210"/>
      <c r="X57" s="210"/>
      <c r="Y57" s="210"/>
      <c r="Z57" s="210"/>
    </row>
    <row r="58" spans="2:26" ht="18.75" customHeight="1" x14ac:dyDescent="0.25">
      <c r="B58" s="210"/>
      <c r="C58" s="210"/>
      <c r="D58" s="210"/>
      <c r="E58" s="210"/>
      <c r="F58" s="210"/>
      <c r="G58" s="210"/>
      <c r="H58" s="210"/>
      <c r="I58" s="210"/>
      <c r="J58" s="210"/>
      <c r="K58" s="210"/>
      <c r="L58" s="210"/>
      <c r="M58" s="210"/>
      <c r="N58" s="210"/>
      <c r="O58" s="214"/>
      <c r="P58" s="210"/>
      <c r="Q58" s="210"/>
      <c r="R58" s="210"/>
      <c r="S58" s="210"/>
      <c r="T58" s="210"/>
      <c r="U58" s="210"/>
      <c r="V58" s="210"/>
      <c r="W58" s="210"/>
      <c r="X58" s="210"/>
      <c r="Y58" s="210"/>
      <c r="Z58" s="210"/>
    </row>
    <row r="59" spans="2:26" ht="18.75" customHeight="1" x14ac:dyDescent="0.25">
      <c r="B59" s="210"/>
      <c r="C59" s="210"/>
      <c r="D59" s="210"/>
      <c r="E59" s="210"/>
      <c r="F59" s="210"/>
      <c r="G59" s="210"/>
      <c r="H59" s="210"/>
      <c r="I59" s="210"/>
      <c r="J59" s="210"/>
      <c r="K59" s="210"/>
      <c r="L59" s="210"/>
      <c r="M59" s="210"/>
      <c r="N59" s="210"/>
      <c r="O59" s="214"/>
      <c r="P59" s="210"/>
      <c r="Q59" s="210"/>
      <c r="R59" s="210"/>
      <c r="S59" s="210"/>
      <c r="T59" s="210"/>
      <c r="U59" s="210"/>
      <c r="V59" s="210"/>
      <c r="W59" s="210"/>
      <c r="X59" s="210"/>
      <c r="Y59" s="210"/>
      <c r="Z59" s="210"/>
    </row>
    <row r="60" spans="2:26" ht="18.75" customHeight="1" x14ac:dyDescent="0.25">
      <c r="B60" s="210"/>
      <c r="C60" s="210"/>
      <c r="D60" s="210"/>
      <c r="E60" s="210"/>
      <c r="F60" s="210"/>
      <c r="G60" s="210"/>
      <c r="H60" s="210"/>
      <c r="I60" s="210"/>
      <c r="J60" s="210"/>
      <c r="K60" s="210"/>
      <c r="L60" s="210"/>
      <c r="M60" s="210"/>
      <c r="N60" s="210"/>
      <c r="O60" s="214"/>
      <c r="P60" s="210"/>
      <c r="Q60" s="210"/>
      <c r="R60" s="210"/>
      <c r="S60" s="210"/>
      <c r="T60" s="210"/>
      <c r="U60" s="210"/>
      <c r="V60" s="210"/>
      <c r="W60" s="210"/>
      <c r="X60" s="210"/>
      <c r="Y60" s="210"/>
      <c r="Z60" s="210"/>
    </row>
    <row r="61" spans="2:26" ht="18.75" customHeight="1" x14ac:dyDescent="0.25">
      <c r="B61" s="210"/>
      <c r="C61" s="210"/>
      <c r="D61" s="210"/>
      <c r="E61" s="210"/>
      <c r="F61" s="210"/>
      <c r="G61" s="210"/>
      <c r="H61" s="210"/>
      <c r="I61" s="210"/>
      <c r="J61" s="210"/>
      <c r="K61" s="210"/>
      <c r="L61" s="210"/>
      <c r="M61" s="210"/>
      <c r="N61" s="210"/>
      <c r="O61" s="214"/>
      <c r="P61" s="210"/>
      <c r="Q61" s="210"/>
      <c r="R61" s="210"/>
      <c r="S61" s="210"/>
      <c r="T61" s="210"/>
      <c r="U61" s="210"/>
      <c r="V61" s="210"/>
      <c r="W61" s="210"/>
      <c r="X61" s="210"/>
      <c r="Y61" s="210"/>
      <c r="Z61" s="210"/>
    </row>
    <row r="62" spans="2:26" ht="18.75" customHeight="1" x14ac:dyDescent="0.25">
      <c r="B62" s="210"/>
      <c r="C62" s="210"/>
      <c r="D62" s="210"/>
      <c r="E62" s="210"/>
      <c r="F62" s="210"/>
      <c r="G62" s="210"/>
      <c r="H62" s="210"/>
      <c r="I62" s="210"/>
      <c r="J62" s="210"/>
      <c r="K62" s="210"/>
      <c r="L62" s="210"/>
      <c r="M62" s="210"/>
      <c r="N62" s="210"/>
      <c r="O62" s="214"/>
      <c r="P62" s="210"/>
      <c r="Q62" s="210"/>
      <c r="R62" s="210"/>
      <c r="S62" s="210"/>
      <c r="T62" s="210"/>
      <c r="U62" s="210"/>
      <c r="V62" s="210"/>
      <c r="W62" s="210"/>
      <c r="X62" s="210"/>
      <c r="Y62" s="210"/>
      <c r="Z62" s="210"/>
    </row>
    <row r="63" spans="2:26" ht="18.75" customHeight="1" x14ac:dyDescent="0.25">
      <c r="B63" s="210"/>
      <c r="C63" s="210"/>
      <c r="D63" s="210"/>
      <c r="E63" s="210"/>
      <c r="F63" s="210"/>
      <c r="G63" s="210"/>
      <c r="H63" s="210"/>
      <c r="I63" s="210"/>
      <c r="J63" s="210"/>
      <c r="K63" s="210"/>
      <c r="L63" s="210"/>
      <c r="M63" s="210"/>
      <c r="N63" s="210"/>
      <c r="O63" s="214"/>
      <c r="P63" s="210"/>
      <c r="Q63" s="210"/>
      <c r="R63" s="210"/>
      <c r="S63" s="210"/>
      <c r="T63" s="210"/>
      <c r="U63" s="210"/>
      <c r="V63" s="210"/>
      <c r="W63" s="210"/>
      <c r="X63" s="210"/>
      <c r="Y63" s="210"/>
      <c r="Z63" s="210"/>
    </row>
    <row r="64" spans="2:26" ht="18.75" customHeight="1" x14ac:dyDescent="0.25">
      <c r="B64" s="210"/>
      <c r="C64" s="210"/>
      <c r="D64" s="210"/>
      <c r="E64" s="210"/>
      <c r="F64" s="210"/>
      <c r="G64" s="210"/>
      <c r="H64" s="210"/>
      <c r="I64" s="210"/>
      <c r="J64" s="210"/>
      <c r="K64" s="210"/>
      <c r="L64" s="210"/>
      <c r="M64" s="210"/>
      <c r="N64" s="210"/>
      <c r="O64" s="214"/>
      <c r="P64" s="210"/>
      <c r="Q64" s="210"/>
      <c r="R64" s="210"/>
      <c r="S64" s="210"/>
      <c r="T64" s="210"/>
      <c r="U64" s="210"/>
      <c r="V64" s="210"/>
      <c r="W64" s="210"/>
      <c r="X64" s="210"/>
      <c r="Y64" s="210"/>
      <c r="Z64" s="210"/>
    </row>
    <row r="65" spans="2:26" ht="18.75" customHeight="1" x14ac:dyDescent="0.25">
      <c r="B65" s="210"/>
      <c r="C65" s="210"/>
      <c r="D65" s="210"/>
      <c r="E65" s="210"/>
      <c r="F65" s="210"/>
      <c r="G65" s="210"/>
      <c r="H65" s="210"/>
      <c r="I65" s="210"/>
      <c r="J65" s="210"/>
      <c r="K65" s="210"/>
      <c r="L65" s="210"/>
      <c r="M65" s="210"/>
      <c r="N65" s="210"/>
      <c r="O65" s="214"/>
      <c r="P65" s="210"/>
      <c r="Q65" s="210"/>
      <c r="R65" s="210"/>
      <c r="S65" s="210"/>
      <c r="T65" s="210"/>
      <c r="U65" s="210"/>
      <c r="V65" s="210"/>
      <c r="W65" s="210"/>
      <c r="X65" s="210"/>
      <c r="Y65" s="210"/>
      <c r="Z65" s="210"/>
    </row>
    <row r="66" spans="2:26" ht="18.75" customHeight="1" x14ac:dyDescent="0.25">
      <c r="B66" s="210"/>
      <c r="C66" s="210"/>
      <c r="D66" s="210"/>
      <c r="E66" s="210"/>
      <c r="F66" s="210"/>
      <c r="G66" s="210"/>
      <c r="H66" s="210"/>
      <c r="I66" s="210"/>
      <c r="J66" s="210"/>
      <c r="K66" s="210"/>
      <c r="L66" s="210"/>
      <c r="M66" s="210"/>
      <c r="N66" s="210"/>
      <c r="O66" s="214"/>
      <c r="P66" s="210"/>
      <c r="Q66" s="210"/>
      <c r="R66" s="210"/>
      <c r="S66" s="210"/>
      <c r="T66" s="210"/>
      <c r="U66" s="210"/>
      <c r="V66" s="210"/>
      <c r="W66" s="210"/>
      <c r="X66" s="210"/>
      <c r="Y66" s="210"/>
      <c r="Z66" s="210"/>
    </row>
  </sheetData>
  <mergeCells count="86">
    <mergeCell ref="W37:Z37"/>
    <mergeCell ref="C38:U38"/>
    <mergeCell ref="W38:Z38"/>
    <mergeCell ref="W13:Z13"/>
    <mergeCell ref="C13:T13"/>
    <mergeCell ref="C18:U18"/>
    <mergeCell ref="C20:U20"/>
    <mergeCell ref="C22:U22"/>
    <mergeCell ref="C17:U17"/>
    <mergeCell ref="W17:Z17"/>
    <mergeCell ref="C21:U21"/>
    <mergeCell ref="W18:Z18"/>
    <mergeCell ref="W19:Z19"/>
    <mergeCell ref="W21:Z21"/>
    <mergeCell ref="W32:Z32"/>
    <mergeCell ref="C23:U23"/>
    <mergeCell ref="A1:Q1"/>
    <mergeCell ref="AC1:AZ1"/>
    <mergeCell ref="A2:AA2"/>
    <mergeCell ref="B3:H3"/>
    <mergeCell ref="B5:Z5"/>
    <mergeCell ref="B4:H4"/>
    <mergeCell ref="I3:Z3"/>
    <mergeCell ref="I4:M4"/>
    <mergeCell ref="C7:T7"/>
    <mergeCell ref="W7:Z7"/>
    <mergeCell ref="W11:Z11"/>
    <mergeCell ref="C12:U12"/>
    <mergeCell ref="W12:Z12"/>
    <mergeCell ref="C11:U11"/>
    <mergeCell ref="Q8:T8"/>
    <mergeCell ref="U8:Z8"/>
    <mergeCell ref="Q9:T9"/>
    <mergeCell ref="U9:Z9"/>
    <mergeCell ref="W10:Z10"/>
    <mergeCell ref="C10:U10"/>
    <mergeCell ref="M8:N8"/>
    <mergeCell ref="M9:N9"/>
    <mergeCell ref="C9:L9"/>
    <mergeCell ref="C8:L8"/>
    <mergeCell ref="B39:Z39"/>
    <mergeCell ref="W14:Z14"/>
    <mergeCell ref="W16:Z16"/>
    <mergeCell ref="W15:Z15"/>
    <mergeCell ref="W33:Z33"/>
    <mergeCell ref="W20:Z20"/>
    <mergeCell ref="W22:Z22"/>
    <mergeCell ref="W26:Z26"/>
    <mergeCell ref="C14:U14"/>
    <mergeCell ref="C35:U35"/>
    <mergeCell ref="W35:Z35"/>
    <mergeCell ref="C34:U34"/>
    <mergeCell ref="W34:Z34"/>
    <mergeCell ref="C36:U36"/>
    <mergeCell ref="W36:Z36"/>
    <mergeCell ref="C37:U37"/>
    <mergeCell ref="W23:Z23"/>
    <mergeCell ref="W24:Z24"/>
    <mergeCell ref="W25:Z25"/>
    <mergeCell ref="C27:U27"/>
    <mergeCell ref="W27:Z27"/>
    <mergeCell ref="W28:Z28"/>
    <mergeCell ref="W31:Z31"/>
    <mergeCell ref="C16:U16"/>
    <mergeCell ref="C19:U19"/>
    <mergeCell ref="C15:U15"/>
    <mergeCell ref="W30:Z30"/>
    <mergeCell ref="W29:Z29"/>
    <mergeCell ref="C24:O24"/>
    <mergeCell ref="P24:U24"/>
    <mergeCell ref="P25:U25"/>
    <mergeCell ref="P26:U26"/>
    <mergeCell ref="C25:O25"/>
    <mergeCell ref="C26:O26"/>
    <mergeCell ref="P28:U28"/>
    <mergeCell ref="P29:U29"/>
    <mergeCell ref="P30:U30"/>
    <mergeCell ref="P31:U31"/>
    <mergeCell ref="P32:U32"/>
    <mergeCell ref="P33:U33"/>
    <mergeCell ref="C28:O28"/>
    <mergeCell ref="C29:O29"/>
    <mergeCell ref="C30:O30"/>
    <mergeCell ref="C31:O31"/>
    <mergeCell ref="C32:O32"/>
    <mergeCell ref="C33:O33"/>
  </mergeCells>
  <conditionalFormatting sqref="AC5:AD7">
    <cfRule type="iconSet" priority="25">
      <iconSet iconSet="3Symbols2" showValue="0">
        <cfvo type="percent" val="0"/>
        <cfvo type="percent" val="33"/>
        <cfvo type="percent" val="67"/>
      </iconSet>
    </cfRule>
  </conditionalFormatting>
  <conditionalFormatting sqref="C8 C11:C12 C35:C38 C24:C26 C14:C16 C18:C22">
    <cfRule type="expression" dxfId="104" priority="22">
      <formula>$B8=1</formula>
    </cfRule>
  </conditionalFormatting>
  <conditionalFormatting sqref="B30:B32 B27">
    <cfRule type="iconSet" priority="14">
      <iconSet iconSet="3Symbols2" showValue="0">
        <cfvo type="percent" val="0"/>
        <cfvo type="percent" val="0" gte="0"/>
        <cfvo type="percent" val="1"/>
      </iconSet>
    </cfRule>
  </conditionalFormatting>
  <conditionalFormatting sqref="C28">
    <cfRule type="expression" dxfId="103" priority="12">
      <formula>$B28=1</formula>
    </cfRule>
  </conditionalFormatting>
  <conditionalFormatting sqref="B28:B29">
    <cfRule type="iconSet" priority="13">
      <iconSet iconSet="3Symbols2" showValue="0">
        <cfvo type="percent" val="0"/>
        <cfvo type="percent" val="0" gte="0"/>
        <cfvo type="percent" val="1"/>
      </iconSet>
    </cfRule>
  </conditionalFormatting>
  <conditionalFormatting sqref="B26">
    <cfRule type="iconSet" priority="11">
      <iconSet iconSet="3Symbols2" showValue="0">
        <cfvo type="percent" val="0"/>
        <cfvo type="percent" val="0" gte="0"/>
        <cfvo type="percent" val="1"/>
      </iconSet>
    </cfRule>
  </conditionalFormatting>
  <conditionalFormatting sqref="B8 B11:B12">
    <cfRule type="iconSet" priority="661">
      <iconSet iconSet="3Symbols2" showValue="0">
        <cfvo type="percent" val="0"/>
        <cfvo type="percent" val="0" gte="0"/>
        <cfvo type="percent" val="1"/>
      </iconSet>
    </cfRule>
  </conditionalFormatting>
  <conditionalFormatting sqref="C9">
    <cfRule type="expression" dxfId="102" priority="2">
      <formula>$B9=1</formula>
    </cfRule>
  </conditionalFormatting>
  <conditionalFormatting sqref="B9">
    <cfRule type="iconSet" priority="3">
      <iconSet iconSet="3Symbols2" showValue="0">
        <cfvo type="percent" val="0"/>
        <cfvo type="percent" val="0" gte="0"/>
        <cfvo type="percent" val="1"/>
      </iconSet>
    </cfRule>
  </conditionalFormatting>
  <conditionalFormatting sqref="B33:B34 B14:B25">
    <cfRule type="iconSet" priority="662">
      <iconSet iconSet="3Symbols2" showValue="0">
        <cfvo type="percent" val="0"/>
        <cfvo type="percent" val="0" gte="0"/>
        <cfvo type="percent" val="1"/>
      </iconSet>
    </cfRule>
  </conditionalFormatting>
  <conditionalFormatting sqref="B35:B38">
    <cfRule type="iconSet" priority="668">
      <iconSet iconSet="3Symbols2" showValue="0">
        <cfvo type="percent" val="0"/>
        <cfvo type="percent" val="0" gte="0"/>
        <cfvo type="percent" val="1"/>
      </iconSet>
    </cfRule>
  </conditionalFormatting>
  <conditionalFormatting sqref="C29:C33">
    <cfRule type="expression" dxfId="101" priority="1">
      <formula>$B29=1</formula>
    </cfRule>
  </conditionalFormatting>
  <dataValidations count="2">
    <dataValidation type="list" allowBlank="1" showInputMessage="1" showErrorMessage="1" sqref="U8:Z9">
      <formula1>$AX$8:$AX$23</formula1>
    </dataValidation>
    <dataValidation type="list" allowBlank="1" showInputMessage="1" showErrorMessage="1" sqref="N4:S4">
      <formula1>$AH$16:$AH$37</formula1>
    </dataValidation>
  </dataValidations>
  <printOptions horizontalCentered="1"/>
  <pageMargins left="0.23622047244094491" right="0.23622047244094491" top="0.74803149606299213" bottom="0.74803149606299213" header="0.31496062992125984" footer="0"/>
  <pageSetup paperSize="9" scale="97" orientation="portrait" r:id="rId1"/>
  <headerFooter alignWithMargins="0">
    <oddHeader>&amp;C&amp;G</oddHeader>
    <oddFooter>&amp;R&amp;G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Settings!$AH$14:$AH$37</xm:f>
          </x14:formula1>
          <xm:sqref>I4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89"/>
  <sheetViews>
    <sheetView showGridLines="0" showRuler="0" zoomScaleNormal="100" workbookViewId="0">
      <selection sqref="A1:R1"/>
    </sheetView>
  </sheetViews>
  <sheetFormatPr defaultColWidth="3.5703125" defaultRowHeight="18.75" customHeight="1" x14ac:dyDescent="0.25"/>
  <cols>
    <col min="1" max="10" width="3.5703125" style="21"/>
    <col min="11" max="11" width="3.5703125" style="21" customWidth="1"/>
    <col min="12" max="15" width="3.5703125" style="21"/>
    <col min="16" max="16" width="3.5703125" style="23"/>
    <col min="17" max="26" width="3.5703125" style="21"/>
    <col min="27" max="27" width="3.5703125" style="21" customWidth="1"/>
    <col min="28" max="28" width="5.28515625" style="123" customWidth="1"/>
    <col min="29" max="29" width="14.5703125" style="94" bestFit="1" customWidth="1"/>
    <col min="30" max="30" width="24" style="94" bestFit="1" customWidth="1"/>
    <col min="31" max="31" width="9.5703125" style="94" bestFit="1" customWidth="1"/>
    <col min="32" max="32" width="10.28515625" style="94" bestFit="1" customWidth="1"/>
    <col min="33" max="42" width="3.5703125" style="94"/>
    <col min="43" max="49" width="3.5703125" style="129"/>
    <col min="50" max="50" width="8.5703125" style="129" customWidth="1"/>
    <col min="51" max="51" width="13.5703125" style="129" bestFit="1" customWidth="1"/>
    <col min="52" max="64" width="3.5703125" style="129"/>
    <col min="65" max="16384" width="3.5703125" style="21"/>
  </cols>
  <sheetData>
    <row r="1" spans="1:64" ht="48" customHeight="1" x14ac:dyDescent="0.25">
      <c r="A1" s="1534" t="s">
        <v>442</v>
      </c>
      <c r="B1" s="1534"/>
      <c r="C1" s="1534"/>
      <c r="D1" s="1534"/>
      <c r="E1" s="1534"/>
      <c r="F1" s="1534"/>
      <c r="G1" s="1534"/>
      <c r="H1" s="1534"/>
      <c r="I1" s="1534"/>
      <c r="J1" s="1534"/>
      <c r="K1" s="1534"/>
      <c r="L1" s="1534"/>
      <c r="M1" s="1534"/>
      <c r="N1" s="1534"/>
      <c r="O1" s="1534"/>
      <c r="P1" s="1534"/>
      <c r="Q1" s="1534"/>
      <c r="R1" s="1534"/>
      <c r="AC1" s="2082" t="s">
        <v>434</v>
      </c>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row>
    <row r="2" spans="1:64" s="1" customFormat="1" ht="12.75" x14ac:dyDescent="0.25">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67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1"/>
      <c r="BD2" s="131"/>
      <c r="BE2" s="131"/>
      <c r="BF2" s="131"/>
      <c r="BG2" s="131"/>
      <c r="BH2" s="131"/>
      <c r="BI2" s="131"/>
      <c r="BJ2" s="131"/>
      <c r="BK2" s="131"/>
      <c r="BL2" s="131"/>
    </row>
    <row r="3" spans="1:64" s="1" customFormat="1" ht="15" x14ac:dyDescent="0.25">
      <c r="A3" s="1070"/>
      <c r="B3" s="1724" t="s">
        <v>669</v>
      </c>
      <c r="C3" s="1724"/>
      <c r="D3" s="1724"/>
      <c r="E3" s="1724"/>
      <c r="F3" s="1724"/>
      <c r="G3" s="1724"/>
      <c r="H3" s="1724"/>
      <c r="I3" s="1724"/>
      <c r="J3" s="1726" t="str">
        <f>+Profile!BE8</f>
        <v xml:space="preserve"> </v>
      </c>
      <c r="K3" s="1726"/>
      <c r="L3" s="1726"/>
      <c r="M3" s="1726"/>
      <c r="N3" s="1726"/>
      <c r="O3" s="1726"/>
      <c r="P3" s="1726"/>
      <c r="Q3" s="1726"/>
      <c r="R3" s="1726"/>
      <c r="S3" s="1726"/>
      <c r="T3" s="1726"/>
      <c r="U3" s="691"/>
      <c r="V3" s="691"/>
      <c r="W3" s="691"/>
      <c r="X3" s="691"/>
      <c r="Y3" s="691"/>
      <c r="Z3" s="691"/>
      <c r="AA3" s="1070"/>
      <c r="AB3" s="675"/>
      <c r="AC3" s="135"/>
      <c r="AD3" s="135"/>
      <c r="AE3" s="94"/>
      <c r="AF3" s="135"/>
      <c r="AG3" s="135"/>
      <c r="AH3" s="135"/>
      <c r="AI3" s="135"/>
      <c r="AJ3" s="135"/>
      <c r="AK3" s="135"/>
      <c r="AL3" s="135"/>
      <c r="AM3" s="135"/>
      <c r="AN3" s="135"/>
      <c r="AO3" s="135"/>
      <c r="AP3" s="135"/>
      <c r="AQ3" s="131"/>
      <c r="AR3" s="131"/>
      <c r="AS3" s="131"/>
      <c r="AT3" s="131"/>
      <c r="AU3" s="131"/>
      <c r="AV3" s="131"/>
      <c r="AW3" s="131"/>
      <c r="AX3" s="131"/>
      <c r="AY3" s="131"/>
      <c r="AZ3" s="131"/>
      <c r="BA3" s="131"/>
      <c r="BB3" s="131"/>
      <c r="BC3" s="131"/>
      <c r="BD3" s="131"/>
      <c r="BE3" s="131"/>
      <c r="BF3" s="131"/>
      <c r="BG3" s="131"/>
      <c r="BH3" s="131"/>
      <c r="BI3" s="131"/>
      <c r="BJ3" s="131"/>
      <c r="BK3" s="131"/>
      <c r="BL3" s="131"/>
    </row>
    <row r="4" spans="1:64" s="27" customFormat="1" ht="14.65" customHeight="1" x14ac:dyDescent="0.25">
      <c r="A4" s="689"/>
      <c r="B4" s="694"/>
      <c r="C4" s="694"/>
      <c r="D4" s="694"/>
      <c r="E4" s="694"/>
      <c r="F4" s="694"/>
      <c r="G4" s="694"/>
      <c r="H4" s="694"/>
      <c r="I4" s="694"/>
      <c r="J4" s="695"/>
      <c r="K4" s="695"/>
      <c r="L4" s="695"/>
      <c r="M4" s="695"/>
      <c r="N4" s="695"/>
      <c r="O4" s="695"/>
      <c r="P4" s="695"/>
      <c r="Q4" s="695"/>
      <c r="R4" s="695"/>
      <c r="S4" s="695"/>
      <c r="T4" s="695"/>
      <c r="U4" s="694"/>
      <c r="V4" s="694"/>
      <c r="W4" s="694"/>
      <c r="X4" s="694"/>
      <c r="Y4" s="696"/>
      <c r="Z4" s="697"/>
      <c r="AA4" s="689"/>
      <c r="AB4" s="677"/>
      <c r="AC4" s="1069"/>
      <c r="AD4" s="1069"/>
      <c r="AE4" s="94"/>
      <c r="AF4" s="1069"/>
      <c r="AG4" s="1069"/>
      <c r="AH4" s="1069"/>
      <c r="AI4" s="1069"/>
      <c r="AJ4" s="1069"/>
      <c r="AK4" s="1069"/>
      <c r="AL4" s="1069"/>
      <c r="AM4" s="1069"/>
      <c r="AN4" s="1069"/>
      <c r="AO4" s="1069"/>
      <c r="AP4" s="1069"/>
      <c r="AQ4" s="153"/>
      <c r="AR4" s="153"/>
      <c r="AS4" s="153"/>
      <c r="AT4" s="153"/>
      <c r="AU4" s="153"/>
      <c r="AV4" s="153"/>
      <c r="AW4" s="153"/>
      <c r="AX4" s="153"/>
      <c r="AY4" s="153"/>
      <c r="AZ4" s="153"/>
      <c r="BA4" s="153"/>
      <c r="BB4" s="153"/>
      <c r="BC4" s="153"/>
      <c r="BD4" s="153"/>
      <c r="BE4" s="153"/>
      <c r="BF4" s="153"/>
      <c r="BG4" s="153"/>
      <c r="BH4" s="153"/>
      <c r="BI4" s="153"/>
      <c r="BJ4" s="153"/>
      <c r="BK4" s="153"/>
      <c r="BL4" s="153"/>
    </row>
    <row r="5" spans="1:64" s="131" customFormat="1" ht="15" x14ac:dyDescent="0.25">
      <c r="A5" s="1070"/>
      <c r="B5" s="1726" t="s">
        <v>443</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070"/>
      <c r="AB5" s="676"/>
      <c r="AC5" s="135"/>
      <c r="AD5" s="135"/>
      <c r="AE5" s="94"/>
      <c r="AF5" s="135"/>
      <c r="AG5" s="135"/>
      <c r="AH5" s="135"/>
      <c r="AI5" s="135"/>
      <c r="AJ5" s="135"/>
      <c r="AK5" s="135"/>
      <c r="AL5" s="135"/>
      <c r="AM5" s="135"/>
      <c r="AN5" s="135"/>
      <c r="AO5" s="135"/>
      <c r="AP5" s="135"/>
    </row>
    <row r="6" spans="1:64" s="129" customFormat="1" ht="18.75" customHeight="1" x14ac:dyDescent="0.25">
      <c r="A6" s="21"/>
      <c r="B6" s="21"/>
      <c r="C6" s="21"/>
      <c r="D6" s="21"/>
      <c r="E6" s="21"/>
      <c r="F6" s="21"/>
      <c r="G6" s="21"/>
      <c r="H6" s="21"/>
      <c r="I6" s="21"/>
      <c r="J6" s="21"/>
      <c r="K6" s="21"/>
      <c r="L6" s="21"/>
      <c r="M6" s="21"/>
      <c r="N6" s="21"/>
      <c r="O6" s="21"/>
      <c r="P6" s="23"/>
      <c r="Q6" s="21"/>
      <c r="R6" s="21"/>
      <c r="S6" s="21"/>
      <c r="T6" s="21"/>
      <c r="U6" s="21"/>
      <c r="V6" s="21"/>
      <c r="W6" s="21"/>
      <c r="X6" s="21"/>
      <c r="Y6" s="21"/>
      <c r="Z6" s="21"/>
      <c r="AA6" s="21"/>
      <c r="AB6" s="215"/>
      <c r="AC6" s="226"/>
      <c r="AD6" s="227"/>
      <c r="AI6" s="94"/>
      <c r="AJ6" s="94"/>
      <c r="AK6" s="94"/>
      <c r="AL6" s="94"/>
      <c r="AM6" s="94"/>
      <c r="AN6" s="94"/>
      <c r="AO6" s="94"/>
      <c r="AP6" s="94"/>
    </row>
    <row r="7" spans="1:64" s="129" customFormat="1" ht="26.25" customHeight="1" x14ac:dyDescent="0.25">
      <c r="A7" s="210"/>
      <c r="B7" s="861"/>
      <c r="C7" s="2091" t="s">
        <v>904</v>
      </c>
      <c r="D7" s="2091"/>
      <c r="E7" s="2091"/>
      <c r="F7" s="2091"/>
      <c r="G7" s="2091"/>
      <c r="H7" s="2092" t="s">
        <v>905</v>
      </c>
      <c r="I7" s="2092"/>
      <c r="J7" s="2092"/>
      <c r="K7" s="2092"/>
      <c r="L7" s="2092"/>
      <c r="M7" s="2092"/>
      <c r="N7" s="2092"/>
      <c r="O7" s="2092"/>
      <c r="P7" s="2092"/>
      <c r="Q7" s="2092"/>
      <c r="R7" s="2092"/>
      <c r="S7" s="2092"/>
      <c r="T7" s="2092"/>
      <c r="U7" s="2092"/>
      <c r="V7" s="2092"/>
      <c r="W7" s="2092"/>
      <c r="X7" s="2092"/>
      <c r="Y7" s="2092"/>
      <c r="Z7" s="2093" t="s">
        <v>446</v>
      </c>
      <c r="AA7" s="2093"/>
      <c r="AB7" s="215"/>
      <c r="AC7" s="226"/>
      <c r="AD7" s="227"/>
      <c r="AE7" s="94"/>
      <c r="AF7" s="94"/>
      <c r="AG7" s="94"/>
      <c r="AH7" s="94"/>
      <c r="AI7" s="94"/>
      <c r="AJ7" s="94"/>
      <c r="AK7" s="94"/>
      <c r="AL7" s="94"/>
      <c r="AM7" s="94"/>
      <c r="AN7" s="94"/>
      <c r="AO7" s="94"/>
      <c r="AP7" s="94"/>
    </row>
    <row r="8" spans="1:64" s="129" customFormat="1" ht="18" customHeight="1" x14ac:dyDescent="0.25">
      <c r="A8" s="210"/>
      <c r="B8" s="216"/>
      <c r="C8" s="2088" t="s">
        <v>908</v>
      </c>
      <c r="D8" s="2089"/>
      <c r="E8" s="2089"/>
      <c r="F8" s="2089"/>
      <c r="G8" s="2090"/>
      <c r="H8" s="2077" t="str">
        <f>CONCATENATE("Last 2 Payslips - ")</f>
        <v xml:space="preserve">Last 2 Payslips - </v>
      </c>
      <c r="I8" s="2078"/>
      <c r="J8" s="2078"/>
      <c r="K8" s="2078"/>
      <c r="L8" s="2078"/>
      <c r="M8" s="2078"/>
      <c r="N8" s="2078"/>
      <c r="O8" s="2078"/>
      <c r="P8" s="2078"/>
      <c r="Q8" s="2078"/>
      <c r="R8" s="2078"/>
      <c r="S8" s="2078"/>
      <c r="T8" s="2078"/>
      <c r="U8" s="2078"/>
      <c r="V8" s="2078"/>
      <c r="W8" s="2078"/>
      <c r="X8" s="2078"/>
      <c r="Y8" s="2079"/>
      <c r="Z8" s="215"/>
      <c r="AA8" s="216"/>
      <c r="AB8" s="215"/>
      <c r="AC8" s="94"/>
      <c r="AD8" s="94"/>
      <c r="AE8" s="94"/>
      <c r="AF8" s="94"/>
      <c r="AG8" s="94"/>
      <c r="AH8" s="94"/>
      <c r="AI8" s="94"/>
      <c r="AJ8" s="94"/>
      <c r="AK8" s="94"/>
      <c r="AL8" s="94"/>
      <c r="AM8" s="94"/>
      <c r="AN8" s="94"/>
      <c r="AO8" s="94"/>
      <c r="AP8" s="94"/>
    </row>
    <row r="9" spans="1:64" s="129" customFormat="1" ht="18" customHeight="1" x14ac:dyDescent="0.25">
      <c r="A9" s="210"/>
      <c r="B9" s="216"/>
      <c r="C9" s="2088" t="s">
        <v>908</v>
      </c>
      <c r="D9" s="2089"/>
      <c r="E9" s="2089"/>
      <c r="F9" s="2089"/>
      <c r="G9" s="2090"/>
      <c r="H9" s="2077" t="str">
        <f>CONCATENATE("Last 2 years Tax Returns + ATO Assessments - ")</f>
        <v xml:space="preserve">Last 2 years Tax Returns + ATO Assessments - </v>
      </c>
      <c r="I9" s="2078"/>
      <c r="J9" s="2078"/>
      <c r="K9" s="2078"/>
      <c r="L9" s="2078"/>
      <c r="M9" s="2078"/>
      <c r="N9" s="2078"/>
      <c r="O9" s="2078"/>
      <c r="P9" s="2078"/>
      <c r="Q9" s="2078"/>
      <c r="R9" s="2078"/>
      <c r="S9" s="2078"/>
      <c r="T9" s="2078"/>
      <c r="U9" s="2078"/>
      <c r="V9" s="2078"/>
      <c r="W9" s="2078"/>
      <c r="X9" s="2078"/>
      <c r="Y9" s="2079"/>
      <c r="Z9" s="215"/>
      <c r="AA9" s="216"/>
      <c r="AB9" s="215"/>
      <c r="AC9" s="94"/>
      <c r="AD9" s="94"/>
      <c r="AE9" s="94"/>
      <c r="AF9" s="94"/>
      <c r="AG9" s="94"/>
      <c r="AH9" s="94"/>
      <c r="AI9" s="94"/>
      <c r="AJ9" s="94"/>
      <c r="AK9" s="94"/>
      <c r="AL9" s="94"/>
      <c r="AM9" s="94"/>
      <c r="AN9" s="94"/>
      <c r="AO9" s="94"/>
      <c r="AP9" s="94"/>
    </row>
    <row r="10" spans="1:64" s="129" customFormat="1" ht="18" customHeight="1" x14ac:dyDescent="0.25">
      <c r="A10" s="210"/>
      <c r="B10" s="216"/>
      <c r="C10" s="2088" t="s">
        <v>908</v>
      </c>
      <c r="D10" s="2089"/>
      <c r="E10" s="2089"/>
      <c r="F10" s="2089"/>
      <c r="G10" s="2090"/>
      <c r="H10" s="2077" t="str">
        <f>CONCATENATE("Statements showing Salary Credits - ")</f>
        <v xml:space="preserve">Statements showing Salary Credits - </v>
      </c>
      <c r="I10" s="2078"/>
      <c r="J10" s="2078"/>
      <c r="K10" s="2078"/>
      <c r="L10" s="2078"/>
      <c r="M10" s="2078"/>
      <c r="N10" s="2078"/>
      <c r="O10" s="2078"/>
      <c r="P10" s="2078"/>
      <c r="Q10" s="2078"/>
      <c r="R10" s="2078"/>
      <c r="S10" s="2078"/>
      <c r="T10" s="2078"/>
      <c r="U10" s="2078"/>
      <c r="V10" s="2078"/>
      <c r="W10" s="2078"/>
      <c r="X10" s="2078"/>
      <c r="Y10" s="2079"/>
      <c r="Z10" s="215"/>
      <c r="AA10" s="216"/>
      <c r="AB10" s="215"/>
      <c r="AC10" s="94"/>
      <c r="AD10" s="94"/>
      <c r="AE10" s="94"/>
      <c r="AF10" s="94"/>
      <c r="AG10" s="94"/>
      <c r="AH10" s="94"/>
      <c r="AI10" s="94"/>
      <c r="AJ10" s="94"/>
      <c r="AK10" s="94"/>
      <c r="AL10" s="94"/>
      <c r="AM10" s="94"/>
      <c r="AN10" s="94"/>
      <c r="AO10" s="94"/>
      <c r="AP10" s="94"/>
    </row>
    <row r="11" spans="1:64" s="129" customFormat="1" ht="18" customHeight="1" x14ac:dyDescent="0.25">
      <c r="A11" s="210"/>
      <c r="B11" s="216"/>
      <c r="C11" s="2088" t="s">
        <v>911</v>
      </c>
      <c r="D11" s="2089"/>
      <c r="E11" s="2089"/>
      <c r="F11" s="2089"/>
      <c r="G11" s="2090"/>
      <c r="H11" s="2077"/>
      <c r="I11" s="2078"/>
      <c r="J11" s="2078"/>
      <c r="K11" s="2078"/>
      <c r="L11" s="2078"/>
      <c r="M11" s="2078"/>
      <c r="N11" s="2078"/>
      <c r="O11" s="2078"/>
      <c r="P11" s="2078"/>
      <c r="Q11" s="2078"/>
      <c r="R11" s="2078"/>
      <c r="S11" s="2078"/>
      <c r="T11" s="2078"/>
      <c r="U11" s="2078"/>
      <c r="V11" s="2078"/>
      <c r="W11" s="2078"/>
      <c r="X11" s="2078"/>
      <c r="Y11" s="2079"/>
      <c r="Z11" s="215"/>
      <c r="AA11" s="216"/>
      <c r="AB11" s="215"/>
      <c r="AC11" s="94"/>
      <c r="AD11" s="94"/>
      <c r="AE11" s="94"/>
      <c r="AF11" s="94"/>
      <c r="AG11" s="94"/>
      <c r="AH11" s="94"/>
      <c r="AI11" s="94"/>
      <c r="AJ11" s="94"/>
      <c r="AK11" s="94"/>
      <c r="AL11" s="94"/>
      <c r="AM11" s="94"/>
      <c r="AN11" s="94"/>
      <c r="AO11" s="94"/>
      <c r="AP11" s="94"/>
    </row>
    <row r="12" spans="1:64" s="129" customFormat="1" ht="18" customHeight="1" x14ac:dyDescent="0.25">
      <c r="A12" s="210"/>
      <c r="B12" s="216"/>
      <c r="C12" s="2088" t="s">
        <v>911</v>
      </c>
      <c r="D12" s="2089"/>
      <c r="E12" s="2089"/>
      <c r="F12" s="2089"/>
      <c r="G12" s="2090"/>
      <c r="H12" s="2077"/>
      <c r="I12" s="2078"/>
      <c r="J12" s="2078"/>
      <c r="K12" s="2078"/>
      <c r="L12" s="2078"/>
      <c r="M12" s="2078"/>
      <c r="N12" s="2078"/>
      <c r="O12" s="2078"/>
      <c r="P12" s="2078"/>
      <c r="Q12" s="2078"/>
      <c r="R12" s="2078"/>
      <c r="S12" s="2078"/>
      <c r="T12" s="2078"/>
      <c r="U12" s="2078"/>
      <c r="V12" s="2078"/>
      <c r="W12" s="2078"/>
      <c r="X12" s="2078"/>
      <c r="Y12" s="2079"/>
      <c r="Z12" s="215"/>
      <c r="AA12" s="216"/>
      <c r="AB12" s="215"/>
      <c r="AC12" s="94"/>
      <c r="AD12" s="94"/>
      <c r="AE12" s="94"/>
      <c r="AF12" s="94"/>
      <c r="AG12" s="94"/>
      <c r="AH12" s="94"/>
      <c r="AI12" s="94"/>
      <c r="AJ12" s="94"/>
      <c r="AK12" s="94"/>
      <c r="AL12" s="94"/>
      <c r="AM12" s="94"/>
      <c r="AN12" s="94"/>
      <c r="AO12" s="94"/>
      <c r="AP12" s="94"/>
    </row>
    <row r="13" spans="1:64" s="129" customFormat="1" ht="18" customHeight="1" x14ac:dyDescent="0.25">
      <c r="A13" s="210"/>
      <c r="B13" s="216"/>
      <c r="C13" s="2088" t="s">
        <v>911</v>
      </c>
      <c r="D13" s="2089"/>
      <c r="E13" s="2089"/>
      <c r="F13" s="2089"/>
      <c r="G13" s="2090"/>
      <c r="H13" s="2077"/>
      <c r="I13" s="2078"/>
      <c r="J13" s="2078"/>
      <c r="K13" s="2078"/>
      <c r="L13" s="2078"/>
      <c r="M13" s="2078"/>
      <c r="N13" s="2078"/>
      <c r="O13" s="2078"/>
      <c r="P13" s="2078"/>
      <c r="Q13" s="2078"/>
      <c r="R13" s="2078"/>
      <c r="S13" s="2078"/>
      <c r="T13" s="2078"/>
      <c r="U13" s="2078"/>
      <c r="V13" s="2078"/>
      <c r="W13" s="2078"/>
      <c r="X13" s="2078"/>
      <c r="Y13" s="2079"/>
      <c r="Z13" s="215"/>
      <c r="AA13" s="216"/>
      <c r="AB13" s="215"/>
      <c r="AC13" s="94"/>
      <c r="AD13" s="94"/>
      <c r="AE13" s="94"/>
      <c r="AF13" s="94"/>
      <c r="AG13" s="94"/>
      <c r="AH13" s="94"/>
      <c r="AI13" s="94"/>
      <c r="AJ13" s="94"/>
      <c r="AK13" s="94"/>
      <c r="AL13" s="94"/>
      <c r="AM13" s="94"/>
      <c r="AN13" s="94"/>
      <c r="AO13" s="94"/>
      <c r="AP13" s="94"/>
    </row>
    <row r="14" spans="1:64" s="129" customFormat="1" ht="18" customHeight="1" x14ac:dyDescent="0.25">
      <c r="A14" s="210"/>
      <c r="B14" s="216"/>
      <c r="C14" s="2088" t="s">
        <v>909</v>
      </c>
      <c r="D14" s="2089"/>
      <c r="E14" s="2089"/>
      <c r="F14" s="2089"/>
      <c r="G14" s="2090"/>
      <c r="H14" s="2077" t="str">
        <f>CONCATENATE("Last 2 years Profit Loss &amp; Balance Sheet - ")</f>
        <v xml:space="preserve">Last 2 years Profit Loss &amp; Balance Sheet - </v>
      </c>
      <c r="I14" s="2078"/>
      <c r="J14" s="2078"/>
      <c r="K14" s="2078"/>
      <c r="L14" s="2078"/>
      <c r="M14" s="2078"/>
      <c r="N14" s="2078"/>
      <c r="O14" s="2078"/>
      <c r="P14" s="2078"/>
      <c r="Q14" s="2078"/>
      <c r="R14" s="2078"/>
      <c r="S14" s="2078"/>
      <c r="T14" s="2078"/>
      <c r="U14" s="2078"/>
      <c r="V14" s="2078"/>
      <c r="W14" s="2078"/>
      <c r="X14" s="2078"/>
      <c r="Y14" s="2079"/>
      <c r="Z14" s="215"/>
      <c r="AA14" s="216"/>
      <c r="AB14" s="215"/>
      <c r="AC14" s="94"/>
      <c r="AD14" s="94"/>
      <c r="AE14" s="94"/>
      <c r="AF14" s="94"/>
      <c r="AG14" s="94"/>
      <c r="AH14" s="94"/>
      <c r="AI14" s="94"/>
      <c r="AJ14" s="94"/>
      <c r="AK14" s="94"/>
      <c r="AL14" s="94"/>
      <c r="AM14" s="94"/>
      <c r="AN14" s="94"/>
      <c r="AO14" s="94"/>
      <c r="AP14" s="94"/>
    </row>
    <row r="15" spans="1:64" s="129" customFormat="1" ht="18" customHeight="1" x14ac:dyDescent="0.25">
      <c r="A15" s="210"/>
      <c r="B15" s="216"/>
      <c r="C15" s="2088" t="s">
        <v>909</v>
      </c>
      <c r="D15" s="2089"/>
      <c r="E15" s="2089"/>
      <c r="F15" s="2089"/>
      <c r="G15" s="2090"/>
      <c r="H15" s="2077" t="str">
        <f>CONCATENATE("Last 2 years Business Tax Return - ")</f>
        <v xml:space="preserve">Last 2 years Business Tax Return - </v>
      </c>
      <c r="I15" s="2078"/>
      <c r="J15" s="2078"/>
      <c r="K15" s="2078"/>
      <c r="L15" s="2078"/>
      <c r="M15" s="2078"/>
      <c r="N15" s="2078"/>
      <c r="O15" s="2078"/>
      <c r="P15" s="2078"/>
      <c r="Q15" s="2078"/>
      <c r="R15" s="2078"/>
      <c r="S15" s="2078"/>
      <c r="T15" s="2078"/>
      <c r="U15" s="2078"/>
      <c r="V15" s="2078"/>
      <c r="W15" s="2078"/>
      <c r="X15" s="2078"/>
      <c r="Y15" s="2079"/>
      <c r="Z15" s="215"/>
      <c r="AA15" s="216"/>
      <c r="AB15" s="215"/>
      <c r="AC15" s="94"/>
      <c r="AD15" s="94"/>
      <c r="AE15" s="94"/>
      <c r="AF15" s="94"/>
      <c r="AG15" s="94"/>
      <c r="AH15" s="94"/>
      <c r="AI15" s="94"/>
      <c r="AJ15" s="94"/>
      <c r="AK15" s="94"/>
      <c r="AL15" s="94"/>
      <c r="AM15" s="94"/>
      <c r="AN15" s="94"/>
      <c r="AO15" s="94"/>
      <c r="AP15" s="94"/>
    </row>
    <row r="16" spans="1:64" s="129" customFormat="1" ht="18" customHeight="1" x14ac:dyDescent="0.25">
      <c r="A16" s="210"/>
      <c r="B16" s="216"/>
      <c r="C16" s="2088" t="s">
        <v>910</v>
      </c>
      <c r="D16" s="2089"/>
      <c r="E16" s="2089"/>
      <c r="F16" s="2089"/>
      <c r="G16" s="2090"/>
      <c r="H16" s="2077" t="str">
        <f>CONCATENATE("Real Estate Statement - ")</f>
        <v xml:space="preserve">Real Estate Statement - </v>
      </c>
      <c r="I16" s="2078"/>
      <c r="J16" s="2078"/>
      <c r="K16" s="2078"/>
      <c r="L16" s="2078"/>
      <c r="M16" s="2078"/>
      <c r="N16" s="2078"/>
      <c r="O16" s="2078"/>
      <c r="P16" s="2078"/>
      <c r="Q16" s="2078"/>
      <c r="R16" s="2078"/>
      <c r="S16" s="2078"/>
      <c r="T16" s="2078"/>
      <c r="U16" s="2078"/>
      <c r="V16" s="2078"/>
      <c r="W16" s="2078"/>
      <c r="X16" s="2078"/>
      <c r="Y16" s="2079"/>
      <c r="Z16" s="215"/>
      <c r="AA16" s="216"/>
      <c r="AB16" s="215"/>
      <c r="AC16" s="94"/>
      <c r="AD16" s="94"/>
      <c r="AE16" s="94"/>
      <c r="AF16" s="94"/>
      <c r="AG16" s="94"/>
      <c r="AH16" s="94"/>
      <c r="AI16" s="94"/>
      <c r="AJ16" s="94"/>
      <c r="AK16" s="94"/>
      <c r="AL16" s="94"/>
      <c r="AM16" s="94"/>
      <c r="AN16" s="94"/>
      <c r="AO16" s="94"/>
      <c r="AP16" s="94"/>
    </row>
    <row r="17" spans="1:64" s="123" customFormat="1" ht="18" customHeight="1" x14ac:dyDescent="0.25">
      <c r="A17" s="210"/>
      <c r="B17" s="216"/>
      <c r="C17" s="2088" t="s">
        <v>910</v>
      </c>
      <c r="D17" s="2089"/>
      <c r="E17" s="2089"/>
      <c r="F17" s="2089"/>
      <c r="G17" s="2090"/>
      <c r="H17" s="2077" t="str">
        <f>CONCATENATE("Real Estate Assessment - ")</f>
        <v xml:space="preserve">Real Estate Assessment - </v>
      </c>
      <c r="I17" s="2078"/>
      <c r="J17" s="2078"/>
      <c r="K17" s="2078"/>
      <c r="L17" s="2078"/>
      <c r="M17" s="2078"/>
      <c r="N17" s="2078"/>
      <c r="O17" s="2078"/>
      <c r="P17" s="2078"/>
      <c r="Q17" s="2078"/>
      <c r="R17" s="2078"/>
      <c r="S17" s="2078"/>
      <c r="T17" s="2078"/>
      <c r="U17" s="2078"/>
      <c r="V17" s="2078"/>
      <c r="W17" s="2078"/>
      <c r="X17" s="2078"/>
      <c r="Y17" s="2079"/>
      <c r="Z17" s="215"/>
      <c r="AA17" s="216"/>
      <c r="AB17" s="215"/>
      <c r="AC17" s="94"/>
      <c r="AD17" s="94"/>
      <c r="AE17" s="94"/>
      <c r="AF17" s="94"/>
      <c r="AG17" s="94"/>
      <c r="AH17" s="94"/>
      <c r="AI17" s="94"/>
      <c r="AJ17" s="94"/>
      <c r="AK17" s="94"/>
      <c r="AL17" s="94"/>
      <c r="AM17" s="94"/>
      <c r="AN17" s="94"/>
      <c r="AO17" s="94"/>
      <c r="AP17" s="94"/>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s="123" customFormat="1" ht="18" customHeight="1" x14ac:dyDescent="0.25">
      <c r="A18" s="210"/>
      <c r="B18" s="216"/>
      <c r="C18" s="1071"/>
      <c r="D18" s="1072"/>
      <c r="E18" s="1072"/>
      <c r="F18" s="1072"/>
      <c r="G18" s="1073"/>
      <c r="H18" s="1074"/>
      <c r="I18" s="1075"/>
      <c r="J18" s="1075"/>
      <c r="K18" s="1075"/>
      <c r="L18" s="1075"/>
      <c r="M18" s="1075"/>
      <c r="N18" s="1075"/>
      <c r="O18" s="1075"/>
      <c r="P18" s="1075"/>
      <c r="Q18" s="1075"/>
      <c r="R18" s="1075"/>
      <c r="S18" s="1075"/>
      <c r="T18" s="1075"/>
      <c r="U18" s="1075"/>
      <c r="V18" s="1075"/>
      <c r="W18" s="1075"/>
      <c r="X18" s="1075"/>
      <c r="Y18" s="1076"/>
      <c r="Z18" s="215"/>
      <c r="AA18" s="216"/>
      <c r="AB18" s="215"/>
      <c r="AC18" s="94"/>
      <c r="AD18" s="94"/>
      <c r="AE18" s="94"/>
      <c r="AF18" s="94"/>
      <c r="AG18" s="94"/>
      <c r="AH18" s="94"/>
      <c r="AI18" s="94"/>
      <c r="AJ18" s="94"/>
      <c r="AK18" s="94"/>
      <c r="AL18" s="94"/>
      <c r="AM18" s="94"/>
      <c r="AN18" s="94"/>
      <c r="AO18" s="94"/>
      <c r="AP18" s="94"/>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s="123" customFormat="1" ht="18" customHeight="1" x14ac:dyDescent="0.25">
      <c r="A19" s="210"/>
      <c r="B19" s="216"/>
      <c r="C19" s="1071"/>
      <c r="D19" s="1072"/>
      <c r="E19" s="1072"/>
      <c r="F19" s="1072"/>
      <c r="G19" s="1073"/>
      <c r="H19" s="1074"/>
      <c r="I19" s="1075"/>
      <c r="J19" s="1075"/>
      <c r="K19" s="1075"/>
      <c r="L19" s="1075"/>
      <c r="M19" s="1075"/>
      <c r="N19" s="1075"/>
      <c r="O19" s="1075"/>
      <c r="P19" s="1075"/>
      <c r="Q19" s="1075"/>
      <c r="R19" s="1075"/>
      <c r="S19" s="1075"/>
      <c r="T19" s="1075"/>
      <c r="U19" s="1075"/>
      <c r="V19" s="1075"/>
      <c r="W19" s="1075"/>
      <c r="X19" s="1075"/>
      <c r="Y19" s="1076"/>
      <c r="Z19" s="215"/>
      <c r="AA19" s="216"/>
      <c r="AB19" s="215"/>
      <c r="AC19" s="94"/>
      <c r="AD19" s="94"/>
      <c r="AE19" s="94"/>
      <c r="AF19" s="94"/>
      <c r="AG19" s="94"/>
      <c r="AH19" s="94"/>
      <c r="AI19" s="94"/>
      <c r="AJ19" s="94"/>
      <c r="AK19" s="94"/>
      <c r="AL19" s="94"/>
      <c r="AM19" s="94"/>
      <c r="AN19" s="94"/>
      <c r="AO19" s="94"/>
      <c r="AP19" s="94"/>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s="123" customFormat="1" ht="18" customHeight="1" x14ac:dyDescent="0.25">
      <c r="A20" s="210"/>
      <c r="B20" s="216"/>
      <c r="C20" s="2088"/>
      <c r="D20" s="2089"/>
      <c r="E20" s="2089"/>
      <c r="F20" s="2089"/>
      <c r="G20" s="2090"/>
      <c r="H20" s="2077"/>
      <c r="I20" s="2078"/>
      <c r="J20" s="2078"/>
      <c r="K20" s="2078"/>
      <c r="L20" s="2078"/>
      <c r="M20" s="2078"/>
      <c r="N20" s="2078"/>
      <c r="O20" s="2078"/>
      <c r="P20" s="2078"/>
      <c r="Q20" s="2078"/>
      <c r="R20" s="2078"/>
      <c r="S20" s="2078"/>
      <c r="T20" s="2078"/>
      <c r="U20" s="2078"/>
      <c r="V20" s="2078"/>
      <c r="W20" s="2078"/>
      <c r="X20" s="2078"/>
      <c r="Y20" s="2079"/>
      <c r="Z20" s="215"/>
      <c r="AA20" s="216"/>
      <c r="AB20" s="215"/>
      <c r="AC20" s="94"/>
      <c r="AD20" s="94"/>
      <c r="AE20" s="94"/>
      <c r="AF20" s="94"/>
      <c r="AG20" s="94"/>
      <c r="AH20" s="94"/>
      <c r="AI20" s="94"/>
      <c r="AJ20" s="94"/>
      <c r="AK20" s="94"/>
      <c r="AL20" s="94"/>
      <c r="AM20" s="94"/>
      <c r="AN20" s="94"/>
      <c r="AO20" s="94"/>
      <c r="AP20" s="94"/>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s="123" customFormat="1" ht="18" customHeight="1" x14ac:dyDescent="0.25">
      <c r="A21" s="210"/>
      <c r="B21" s="216"/>
      <c r="C21" s="2088" t="s">
        <v>920</v>
      </c>
      <c r="D21" s="2089"/>
      <c r="E21" s="2089"/>
      <c r="F21" s="2089"/>
      <c r="G21" s="2090"/>
      <c r="H21" s="2077" t="s">
        <v>954</v>
      </c>
      <c r="I21" s="2078"/>
      <c r="J21" s="2078"/>
      <c r="K21" s="2078"/>
      <c r="L21" s="2078"/>
      <c r="M21" s="2078"/>
      <c r="N21" s="2078"/>
      <c r="O21" s="2078"/>
      <c r="P21" s="2078"/>
      <c r="Q21" s="2078"/>
      <c r="R21" s="2078"/>
      <c r="S21" s="2078"/>
      <c r="T21" s="2078"/>
      <c r="U21" s="2078"/>
      <c r="V21" s="2078"/>
      <c r="W21" s="2078"/>
      <c r="X21" s="2078"/>
      <c r="Y21" s="2079"/>
      <c r="Z21" s="215"/>
      <c r="AA21" s="216"/>
      <c r="AB21" s="215"/>
      <c r="AC21" s="94"/>
      <c r="AD21" s="94"/>
      <c r="AE21" s="94"/>
      <c r="AF21" s="94"/>
      <c r="AG21" s="94"/>
      <c r="AH21" s="94"/>
      <c r="AI21" s="94"/>
      <c r="AJ21" s="94"/>
      <c r="AK21" s="94"/>
      <c r="AL21" s="94"/>
      <c r="AM21" s="94"/>
      <c r="AN21" s="94"/>
      <c r="AO21" s="94"/>
      <c r="AP21" s="94"/>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s="123" customFormat="1" ht="18" customHeight="1" x14ac:dyDescent="0.25">
      <c r="A22" s="210"/>
      <c r="B22" s="216"/>
      <c r="C22" s="2088" t="s">
        <v>920</v>
      </c>
      <c r="D22" s="2089"/>
      <c r="E22" s="2089"/>
      <c r="F22" s="2089"/>
      <c r="G22" s="2090"/>
      <c r="H22" s="2077" t="str">
        <f>CONCATENATE("Savings Account - $")</f>
        <v>Savings Account - $</v>
      </c>
      <c r="I22" s="2078"/>
      <c r="J22" s="2078"/>
      <c r="K22" s="2078"/>
      <c r="L22" s="2078"/>
      <c r="M22" s="2078"/>
      <c r="N22" s="2078"/>
      <c r="O22" s="2078"/>
      <c r="P22" s="2078"/>
      <c r="Q22" s="2078"/>
      <c r="R22" s="2078"/>
      <c r="S22" s="2078"/>
      <c r="T22" s="2078"/>
      <c r="U22" s="2078"/>
      <c r="V22" s="2078"/>
      <c r="W22" s="2078"/>
      <c r="X22" s="2078"/>
      <c r="Y22" s="2079"/>
      <c r="Z22" s="215"/>
      <c r="AA22" s="216"/>
      <c r="AB22" s="215"/>
      <c r="AC22" s="94"/>
      <c r="AD22" s="94"/>
      <c r="AE22" s="94"/>
      <c r="AF22" s="94"/>
      <c r="AG22" s="94"/>
      <c r="AH22" s="94"/>
      <c r="AI22" s="94"/>
      <c r="AJ22" s="94"/>
      <c r="AK22" s="94"/>
      <c r="AL22" s="94"/>
      <c r="AM22" s="94"/>
      <c r="AN22" s="94"/>
      <c r="AO22" s="94"/>
      <c r="AP22" s="94"/>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s="123" customFormat="1" ht="18" customHeight="1" x14ac:dyDescent="0.25">
      <c r="A23" s="210"/>
      <c r="B23" s="216"/>
      <c r="C23" s="2088" t="s">
        <v>920</v>
      </c>
      <c r="D23" s="2089"/>
      <c r="E23" s="2089"/>
      <c r="F23" s="2089"/>
      <c r="G23" s="2090"/>
      <c r="H23" s="2077" t="str">
        <f>CONCATENATE("Proof of Genuine Savings - 3mths")</f>
        <v>Proof of Genuine Savings - 3mths</v>
      </c>
      <c r="I23" s="2078"/>
      <c r="J23" s="2078"/>
      <c r="K23" s="2078"/>
      <c r="L23" s="2078"/>
      <c r="M23" s="2078"/>
      <c r="N23" s="2078"/>
      <c r="O23" s="2078"/>
      <c r="P23" s="2078"/>
      <c r="Q23" s="2078"/>
      <c r="R23" s="2078"/>
      <c r="S23" s="2078"/>
      <c r="T23" s="2078"/>
      <c r="U23" s="2078"/>
      <c r="V23" s="2078"/>
      <c r="W23" s="2078"/>
      <c r="X23" s="2078"/>
      <c r="Y23" s="2079"/>
      <c r="Z23" s="215"/>
      <c r="AA23" s="216"/>
      <c r="AB23" s="215"/>
      <c r="AC23" s="94"/>
      <c r="AD23" s="94"/>
      <c r="AE23" s="94"/>
      <c r="AF23" s="94"/>
      <c r="AG23" s="94"/>
      <c r="AH23" s="94"/>
      <c r="AI23" s="94"/>
      <c r="AJ23" s="94"/>
      <c r="AK23" s="94"/>
      <c r="AL23" s="94"/>
      <c r="AM23" s="94"/>
      <c r="AN23" s="94"/>
      <c r="AO23" s="94"/>
      <c r="AP23" s="94"/>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s="123" customFormat="1" ht="18" customHeight="1" x14ac:dyDescent="0.25">
      <c r="A24" s="210"/>
      <c r="B24" s="216"/>
      <c r="C24" s="2088" t="s">
        <v>920</v>
      </c>
      <c r="D24" s="2089"/>
      <c r="E24" s="2089"/>
      <c r="F24" s="2089"/>
      <c r="G24" s="2090"/>
      <c r="H24" s="2077" t="s">
        <v>935</v>
      </c>
      <c r="I24" s="2078"/>
      <c r="J24" s="2078"/>
      <c r="K24" s="2078"/>
      <c r="L24" s="2078"/>
      <c r="M24" s="2078"/>
      <c r="N24" s="2078"/>
      <c r="O24" s="2078"/>
      <c r="P24" s="2078"/>
      <c r="Q24" s="2078"/>
      <c r="R24" s="2078"/>
      <c r="S24" s="2078"/>
      <c r="T24" s="2078"/>
      <c r="U24" s="2078"/>
      <c r="V24" s="2078"/>
      <c r="W24" s="2078"/>
      <c r="X24" s="2078"/>
      <c r="Y24" s="2079"/>
      <c r="Z24" s="215"/>
      <c r="AA24" s="216"/>
      <c r="AB24" s="215"/>
      <c r="AC24" s="94"/>
      <c r="AD24" s="94"/>
      <c r="AE24" s="94"/>
      <c r="AF24" s="94"/>
      <c r="AG24" s="94"/>
      <c r="AH24" s="94"/>
      <c r="AI24" s="94"/>
      <c r="AJ24" s="94"/>
      <c r="AK24" s="94"/>
      <c r="AL24" s="94"/>
      <c r="AM24" s="94"/>
      <c r="AN24" s="94"/>
      <c r="AO24" s="94"/>
      <c r="AP24" s="94"/>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s="123" customFormat="1" ht="18" customHeight="1" x14ac:dyDescent="0.25">
      <c r="A25" s="210"/>
      <c r="B25" s="216"/>
      <c r="C25" s="2088" t="s">
        <v>920</v>
      </c>
      <c r="D25" s="2089"/>
      <c r="E25" s="2089"/>
      <c r="F25" s="2089"/>
      <c r="G25" s="2090"/>
      <c r="H25" s="2077" t="s">
        <v>1156</v>
      </c>
      <c r="I25" s="2078"/>
      <c r="J25" s="2078"/>
      <c r="K25" s="2078"/>
      <c r="L25" s="2078"/>
      <c r="M25" s="2078"/>
      <c r="N25" s="2078"/>
      <c r="O25" s="2078"/>
      <c r="P25" s="2078"/>
      <c r="Q25" s="2078"/>
      <c r="R25" s="2078"/>
      <c r="S25" s="2078"/>
      <c r="T25" s="2078"/>
      <c r="U25" s="2078"/>
      <c r="V25" s="2078"/>
      <c r="W25" s="2078"/>
      <c r="X25" s="2078"/>
      <c r="Y25" s="2079"/>
      <c r="Z25" s="215"/>
      <c r="AA25" s="216"/>
      <c r="AB25" s="215"/>
      <c r="AC25" s="94"/>
      <c r="AD25" s="94"/>
      <c r="AE25" s="94"/>
      <c r="AF25" s="94"/>
      <c r="AG25" s="94"/>
      <c r="AH25" s="94"/>
      <c r="AI25" s="94"/>
      <c r="AJ25" s="94"/>
      <c r="AK25" s="94"/>
      <c r="AL25" s="94"/>
      <c r="AM25" s="94"/>
      <c r="AN25" s="94"/>
      <c r="AO25" s="94"/>
      <c r="AP25" s="94"/>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s="123" customFormat="1" ht="18" customHeight="1" x14ac:dyDescent="0.25">
      <c r="A26" s="210"/>
      <c r="B26" s="216"/>
      <c r="C26" s="1071"/>
      <c r="D26" s="1072"/>
      <c r="E26" s="1072"/>
      <c r="F26" s="1072"/>
      <c r="G26" s="1073"/>
      <c r="H26" s="1074"/>
      <c r="I26" s="1075"/>
      <c r="J26" s="1075"/>
      <c r="K26" s="1075"/>
      <c r="L26" s="1075"/>
      <c r="M26" s="1075"/>
      <c r="N26" s="1075"/>
      <c r="O26" s="1075"/>
      <c r="P26" s="1075"/>
      <c r="Q26" s="1075"/>
      <c r="R26" s="1075"/>
      <c r="S26" s="1075"/>
      <c r="T26" s="1075"/>
      <c r="U26" s="1075"/>
      <c r="V26" s="1075"/>
      <c r="W26" s="1075"/>
      <c r="X26" s="1075"/>
      <c r="Y26" s="1076"/>
      <c r="Z26" s="215"/>
      <c r="AA26" s="216"/>
      <c r="AB26" s="215"/>
      <c r="AC26" s="94"/>
      <c r="AD26" s="94"/>
      <c r="AE26" s="94"/>
      <c r="AF26" s="94"/>
      <c r="AG26" s="94"/>
      <c r="AH26" s="94"/>
      <c r="AI26" s="94"/>
      <c r="AJ26" s="94"/>
      <c r="AK26" s="94"/>
      <c r="AL26" s="94"/>
      <c r="AM26" s="94"/>
      <c r="AN26" s="94"/>
      <c r="AO26" s="94"/>
      <c r="AP26" s="94"/>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s="123" customFormat="1" ht="18" customHeight="1" x14ac:dyDescent="0.25">
      <c r="A27" s="210"/>
      <c r="B27" s="216"/>
      <c r="C27" s="1071"/>
      <c r="D27" s="1072"/>
      <c r="E27" s="1072"/>
      <c r="F27" s="1072"/>
      <c r="G27" s="1073"/>
      <c r="H27" s="1074"/>
      <c r="I27" s="1075"/>
      <c r="J27" s="1075"/>
      <c r="K27" s="1075"/>
      <c r="L27" s="1075"/>
      <c r="M27" s="1075"/>
      <c r="N27" s="1075"/>
      <c r="O27" s="1075"/>
      <c r="P27" s="1075"/>
      <c r="Q27" s="1075"/>
      <c r="R27" s="1075"/>
      <c r="S27" s="1075"/>
      <c r="T27" s="1075"/>
      <c r="U27" s="1075"/>
      <c r="V27" s="1075"/>
      <c r="W27" s="1075"/>
      <c r="X27" s="1075"/>
      <c r="Y27" s="1076"/>
      <c r="Z27" s="215"/>
      <c r="AA27" s="216"/>
      <c r="AB27" s="215"/>
      <c r="AC27" s="94"/>
      <c r="AD27" s="94"/>
      <c r="AE27" s="94"/>
      <c r="AF27" s="94"/>
      <c r="AG27" s="94"/>
      <c r="AH27" s="94"/>
      <c r="AI27" s="94"/>
      <c r="AJ27" s="94"/>
      <c r="AK27" s="94"/>
      <c r="AL27" s="94"/>
      <c r="AM27" s="94"/>
      <c r="AN27" s="94"/>
      <c r="AO27" s="94"/>
      <c r="AP27" s="94"/>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s="123" customFormat="1" ht="18" customHeight="1" x14ac:dyDescent="0.25">
      <c r="A28" s="210"/>
      <c r="B28" s="216"/>
      <c r="C28" s="2088" t="s">
        <v>953</v>
      </c>
      <c r="D28" s="2089"/>
      <c r="E28" s="2089"/>
      <c r="F28" s="2089"/>
      <c r="G28" s="2090"/>
      <c r="H28" s="2077" t="str">
        <f>CONCATENATE("Most recent CarLoan Statement - $")</f>
        <v>Most recent CarLoan Statement - $</v>
      </c>
      <c r="I28" s="2078"/>
      <c r="J28" s="2078"/>
      <c r="K28" s="2078"/>
      <c r="L28" s="2078"/>
      <c r="M28" s="2078"/>
      <c r="N28" s="2078"/>
      <c r="O28" s="2078"/>
      <c r="P28" s="2078"/>
      <c r="Q28" s="2078"/>
      <c r="R28" s="2078"/>
      <c r="S28" s="2078"/>
      <c r="T28" s="2078"/>
      <c r="U28" s="2078"/>
      <c r="V28" s="2078"/>
      <c r="W28" s="2078"/>
      <c r="X28" s="2078"/>
      <c r="Y28" s="2079"/>
      <c r="Z28" s="215"/>
      <c r="AA28" s="216"/>
      <c r="AB28" s="215"/>
      <c r="AC28" s="94"/>
      <c r="AD28" s="94"/>
      <c r="AE28" s="94"/>
      <c r="AF28" s="94"/>
      <c r="AG28" s="94"/>
      <c r="AH28" s="94"/>
      <c r="AI28" s="94"/>
      <c r="AJ28" s="94"/>
      <c r="AK28" s="94"/>
      <c r="AL28" s="94"/>
      <c r="AM28" s="94"/>
      <c r="AN28" s="94"/>
      <c r="AO28" s="94"/>
      <c r="AP28" s="94"/>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s="123" customFormat="1" ht="18" customHeight="1" x14ac:dyDescent="0.25">
      <c r="A29" s="210"/>
      <c r="B29" s="216"/>
      <c r="C29" s="2088" t="s">
        <v>903</v>
      </c>
      <c r="D29" s="2089"/>
      <c r="E29" s="2089"/>
      <c r="F29" s="2089"/>
      <c r="G29" s="2090"/>
      <c r="H29" s="2077" t="str">
        <f>CONCATENATE("Most recent Home Loan Statement - $")</f>
        <v>Most recent Home Loan Statement - $</v>
      </c>
      <c r="I29" s="2078"/>
      <c r="J29" s="2078"/>
      <c r="K29" s="2078"/>
      <c r="L29" s="2078"/>
      <c r="M29" s="2078"/>
      <c r="N29" s="2078"/>
      <c r="O29" s="2078"/>
      <c r="P29" s="2078"/>
      <c r="Q29" s="2078"/>
      <c r="R29" s="2078"/>
      <c r="S29" s="2078"/>
      <c r="T29" s="2078"/>
      <c r="U29" s="2078"/>
      <c r="V29" s="2078"/>
      <c r="W29" s="2078"/>
      <c r="X29" s="2078"/>
      <c r="Y29" s="2079"/>
      <c r="Z29" s="215"/>
      <c r="AA29" s="216"/>
      <c r="AB29" s="215"/>
      <c r="AC29" s="94"/>
      <c r="AD29" s="94"/>
      <c r="AE29" s="94"/>
      <c r="AF29" s="94"/>
      <c r="AG29" s="94"/>
      <c r="AH29" s="94"/>
      <c r="AI29" s="94"/>
      <c r="AJ29" s="94"/>
      <c r="AK29" s="94"/>
      <c r="AL29" s="94"/>
      <c r="AM29" s="94"/>
      <c r="AN29" s="94"/>
      <c r="AO29" s="94"/>
      <c r="AP29" s="94"/>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s="123" customFormat="1" ht="18" customHeight="1" x14ac:dyDescent="0.25">
      <c r="A30" s="210"/>
      <c r="B30" s="216"/>
      <c r="C30" s="2088" t="s">
        <v>903</v>
      </c>
      <c r="D30" s="2089"/>
      <c r="E30" s="2089"/>
      <c r="F30" s="2089"/>
      <c r="G30" s="2090"/>
      <c r="H30" s="2077" t="str">
        <f>CONCATENATE("Most recent Home Loan Statement - $")</f>
        <v>Most recent Home Loan Statement - $</v>
      </c>
      <c r="I30" s="2078"/>
      <c r="J30" s="2078"/>
      <c r="K30" s="2078"/>
      <c r="L30" s="2078"/>
      <c r="M30" s="2078"/>
      <c r="N30" s="2078"/>
      <c r="O30" s="2078"/>
      <c r="P30" s="2078"/>
      <c r="Q30" s="2078"/>
      <c r="R30" s="2078"/>
      <c r="S30" s="2078"/>
      <c r="T30" s="2078"/>
      <c r="U30" s="2078"/>
      <c r="V30" s="2078"/>
      <c r="W30" s="2078"/>
      <c r="X30" s="2078"/>
      <c r="Y30" s="2079"/>
      <c r="Z30" s="215"/>
      <c r="AA30" s="216"/>
      <c r="AB30" s="215"/>
      <c r="AC30" s="94"/>
      <c r="AD30" s="94"/>
      <c r="AE30" s="94"/>
      <c r="AF30" s="94"/>
      <c r="AG30" s="94"/>
      <c r="AH30" s="94"/>
      <c r="AI30" s="94"/>
      <c r="AJ30" s="94"/>
      <c r="AK30" s="94"/>
      <c r="AL30" s="94"/>
      <c r="AM30" s="94"/>
      <c r="AN30" s="94"/>
      <c r="AO30" s="94"/>
      <c r="AP30" s="94"/>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s="123" customFormat="1" ht="18" customHeight="1" x14ac:dyDescent="0.25">
      <c r="A31" s="210"/>
      <c r="B31" s="216"/>
      <c r="C31" s="2088" t="s">
        <v>906</v>
      </c>
      <c r="D31" s="2089"/>
      <c r="E31" s="2089"/>
      <c r="F31" s="2089"/>
      <c r="G31" s="2090"/>
      <c r="H31" s="2077" t="str">
        <f>CONCATENATE("Most recent Other Statement - $")</f>
        <v>Most recent Other Statement - $</v>
      </c>
      <c r="I31" s="2078"/>
      <c r="J31" s="2078"/>
      <c r="K31" s="2078"/>
      <c r="L31" s="2078"/>
      <c r="M31" s="2078"/>
      <c r="N31" s="2078"/>
      <c r="O31" s="2078"/>
      <c r="P31" s="2078"/>
      <c r="Q31" s="2078"/>
      <c r="R31" s="2078"/>
      <c r="S31" s="2078"/>
      <c r="T31" s="2078"/>
      <c r="U31" s="2078"/>
      <c r="V31" s="2078"/>
      <c r="W31" s="2078"/>
      <c r="X31" s="2078"/>
      <c r="Y31" s="2079"/>
      <c r="Z31" s="215"/>
      <c r="AA31" s="216"/>
      <c r="AB31" s="215"/>
      <c r="AC31" s="94"/>
      <c r="AD31" s="94"/>
      <c r="AE31" s="94"/>
      <c r="AF31" s="94"/>
      <c r="AG31" s="94"/>
      <c r="AH31" s="94"/>
      <c r="AI31" s="94"/>
      <c r="AJ31" s="94"/>
      <c r="AK31" s="94"/>
      <c r="AL31" s="94"/>
      <c r="AM31" s="94"/>
      <c r="AN31" s="94"/>
      <c r="AO31" s="94"/>
      <c r="AP31" s="94"/>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s="123" customFormat="1" ht="18" customHeight="1" x14ac:dyDescent="0.25">
      <c r="A32" s="210"/>
      <c r="B32" s="216"/>
      <c r="C32" s="2088" t="s">
        <v>912</v>
      </c>
      <c r="D32" s="2089"/>
      <c r="E32" s="2089"/>
      <c r="F32" s="2089"/>
      <c r="G32" s="2090"/>
      <c r="H32" s="2077" t="str">
        <f>CONCATENATE("Most recent Credit Card Statements - ")</f>
        <v xml:space="preserve">Most recent Credit Card Statements - </v>
      </c>
      <c r="I32" s="2078"/>
      <c r="J32" s="2078"/>
      <c r="K32" s="2078"/>
      <c r="L32" s="2078"/>
      <c r="M32" s="2078"/>
      <c r="N32" s="2078"/>
      <c r="O32" s="2078"/>
      <c r="P32" s="2078"/>
      <c r="Q32" s="2078"/>
      <c r="R32" s="2078"/>
      <c r="S32" s="2078"/>
      <c r="T32" s="2078"/>
      <c r="U32" s="2078"/>
      <c r="V32" s="2078"/>
      <c r="W32" s="2078"/>
      <c r="X32" s="2078"/>
      <c r="Y32" s="2079"/>
      <c r="Z32" s="215"/>
      <c r="AA32" s="216"/>
      <c r="AB32" s="215"/>
      <c r="AC32" s="94"/>
      <c r="AD32" s="94"/>
      <c r="AE32" s="94"/>
      <c r="AF32" s="94"/>
      <c r="AG32" s="94"/>
      <c r="AH32" s="94"/>
      <c r="AI32" s="94"/>
      <c r="AJ32" s="94"/>
      <c r="AK32" s="94"/>
      <c r="AL32" s="94"/>
      <c r="AM32" s="94"/>
      <c r="AN32" s="94"/>
      <c r="AO32" s="94"/>
      <c r="AP32" s="94"/>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s="123" customFormat="1" ht="18" customHeight="1" x14ac:dyDescent="0.25">
      <c r="A33" s="210"/>
      <c r="B33" s="216"/>
      <c r="C33" s="1071"/>
      <c r="D33" s="1072"/>
      <c r="E33" s="1072"/>
      <c r="F33" s="1072"/>
      <c r="G33" s="1073"/>
      <c r="H33" s="1074"/>
      <c r="I33" s="1075"/>
      <c r="J33" s="1075"/>
      <c r="K33" s="1075"/>
      <c r="L33" s="1075"/>
      <c r="M33" s="1075"/>
      <c r="N33" s="1075"/>
      <c r="O33" s="1075"/>
      <c r="P33" s="1075"/>
      <c r="Q33" s="1075"/>
      <c r="R33" s="1075"/>
      <c r="S33" s="1075"/>
      <c r="T33" s="1075"/>
      <c r="U33" s="1075"/>
      <c r="V33" s="1075"/>
      <c r="W33" s="1075"/>
      <c r="X33" s="1075"/>
      <c r="Y33" s="1076"/>
      <c r="Z33" s="215"/>
      <c r="AA33" s="216"/>
      <c r="AB33" s="215"/>
      <c r="AC33" s="94"/>
      <c r="AD33" s="94"/>
      <c r="AE33" s="94"/>
      <c r="AF33" s="94"/>
      <c r="AG33" s="94"/>
      <c r="AH33" s="94"/>
      <c r="AI33" s="94"/>
      <c r="AJ33" s="94"/>
      <c r="AK33" s="94"/>
      <c r="AL33" s="94"/>
      <c r="AM33" s="94"/>
      <c r="AN33" s="94"/>
      <c r="AO33" s="94"/>
      <c r="AP33" s="94"/>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s="123" customFormat="1" ht="18" customHeight="1" x14ac:dyDescent="0.25">
      <c r="A34" s="210"/>
      <c r="B34" s="216"/>
      <c r="C34" s="2088" t="s">
        <v>925</v>
      </c>
      <c r="D34" s="2089"/>
      <c r="E34" s="2089"/>
      <c r="F34" s="2089"/>
      <c r="G34" s="2090"/>
      <c r="H34" s="2077" t="str">
        <f>CONCATENATE("Copy of Driver's Licences - ")</f>
        <v xml:space="preserve">Copy of Driver's Licences - </v>
      </c>
      <c r="I34" s="2078"/>
      <c r="J34" s="2078"/>
      <c r="K34" s="2078"/>
      <c r="L34" s="2078"/>
      <c r="M34" s="2078"/>
      <c r="N34" s="2078"/>
      <c r="O34" s="2078"/>
      <c r="P34" s="2078"/>
      <c r="Q34" s="2078"/>
      <c r="R34" s="2078"/>
      <c r="S34" s="2078"/>
      <c r="T34" s="2078"/>
      <c r="U34" s="2078"/>
      <c r="V34" s="2078"/>
      <c r="W34" s="2078"/>
      <c r="X34" s="2078"/>
      <c r="Y34" s="2079"/>
      <c r="Z34" s="215"/>
      <c r="AA34" s="216"/>
      <c r="AB34" s="215"/>
      <c r="AC34" s="94"/>
      <c r="AD34" s="94"/>
      <c r="AE34" s="94"/>
      <c r="AF34" s="94"/>
      <c r="AG34" s="94"/>
      <c r="AH34" s="94"/>
      <c r="AI34" s="94"/>
      <c r="AJ34" s="94"/>
      <c r="AK34" s="94"/>
      <c r="AL34" s="94"/>
      <c r="AM34" s="94"/>
      <c r="AN34" s="94"/>
      <c r="AO34" s="94"/>
      <c r="AP34" s="94"/>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s="123" customFormat="1" ht="18" customHeight="1" x14ac:dyDescent="0.25">
      <c r="A35" s="210"/>
      <c r="B35" s="216"/>
      <c r="C35" s="1071"/>
      <c r="D35" s="1072"/>
      <c r="E35" s="1072"/>
      <c r="F35" s="1072"/>
      <c r="G35" s="1073"/>
      <c r="H35" s="1074"/>
      <c r="I35" s="1075"/>
      <c r="J35" s="1075"/>
      <c r="K35" s="1075"/>
      <c r="L35" s="1075"/>
      <c r="M35" s="1075"/>
      <c r="N35" s="1075"/>
      <c r="O35" s="1075"/>
      <c r="P35" s="1075"/>
      <c r="Q35" s="1075"/>
      <c r="R35" s="1075"/>
      <c r="S35" s="1075"/>
      <c r="T35" s="1075"/>
      <c r="U35" s="1075"/>
      <c r="V35" s="1075"/>
      <c r="W35" s="1075"/>
      <c r="X35" s="1075"/>
      <c r="Y35" s="1076"/>
      <c r="Z35" s="215"/>
      <c r="AA35" s="216"/>
      <c r="AB35" s="215"/>
      <c r="AC35" s="94"/>
      <c r="AD35" s="94"/>
      <c r="AE35" s="94"/>
      <c r="AF35" s="94"/>
      <c r="AG35" s="94"/>
      <c r="AH35" s="94"/>
      <c r="AI35" s="94"/>
      <c r="AJ35" s="94"/>
      <c r="AK35" s="94"/>
      <c r="AL35" s="94"/>
      <c r="AM35" s="94"/>
      <c r="AN35" s="94"/>
      <c r="AO35" s="94"/>
      <c r="AP35" s="94"/>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s="123" customFormat="1" ht="18" customHeight="1" x14ac:dyDescent="0.25">
      <c r="A36" s="210"/>
      <c r="B36" s="216"/>
      <c r="C36" s="1071"/>
      <c r="D36" s="1072"/>
      <c r="E36" s="1072"/>
      <c r="F36" s="1072"/>
      <c r="G36" s="1073"/>
      <c r="H36" s="1074"/>
      <c r="I36" s="1075"/>
      <c r="J36" s="1075"/>
      <c r="K36" s="1075"/>
      <c r="L36" s="1075"/>
      <c r="M36" s="1075"/>
      <c r="N36" s="1075"/>
      <c r="O36" s="1075"/>
      <c r="P36" s="1075"/>
      <c r="Q36" s="1075"/>
      <c r="R36" s="1075"/>
      <c r="S36" s="1075"/>
      <c r="T36" s="1075"/>
      <c r="U36" s="1075"/>
      <c r="V36" s="1075"/>
      <c r="W36" s="1075"/>
      <c r="X36" s="1075"/>
      <c r="Y36" s="1076"/>
      <c r="Z36" s="215"/>
      <c r="AA36" s="216"/>
      <c r="AB36" s="215"/>
      <c r="AC36" s="94"/>
      <c r="AD36" s="94"/>
      <c r="AE36" s="94"/>
      <c r="AF36" s="94"/>
      <c r="AG36" s="94"/>
      <c r="AH36" s="94"/>
      <c r="AI36" s="94"/>
      <c r="AJ36" s="94"/>
      <c r="AK36" s="94"/>
      <c r="AL36" s="94"/>
      <c r="AM36" s="94"/>
      <c r="AN36" s="94"/>
      <c r="AO36" s="94"/>
      <c r="AP36" s="94"/>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s="129" customFormat="1" ht="18" customHeight="1" x14ac:dyDescent="0.25">
      <c r="A37" s="210"/>
      <c r="B37" s="216"/>
      <c r="C37" s="2088"/>
      <c r="D37" s="2089"/>
      <c r="E37" s="2089"/>
      <c r="F37" s="2089"/>
      <c r="G37" s="2090"/>
      <c r="H37" s="2077"/>
      <c r="I37" s="2078"/>
      <c r="J37" s="2078"/>
      <c r="K37" s="2078"/>
      <c r="L37" s="2078"/>
      <c r="M37" s="2078"/>
      <c r="N37" s="2078"/>
      <c r="O37" s="2078"/>
      <c r="P37" s="2078"/>
      <c r="Q37" s="2078"/>
      <c r="R37" s="2078"/>
      <c r="S37" s="2078"/>
      <c r="T37" s="2078"/>
      <c r="U37" s="2078"/>
      <c r="V37" s="2078"/>
      <c r="W37" s="2078"/>
      <c r="X37" s="2078"/>
      <c r="Y37" s="2079"/>
      <c r="Z37" s="215"/>
      <c r="AA37" s="216"/>
      <c r="AB37" s="215"/>
      <c r="AC37" s="94"/>
      <c r="AD37" s="94"/>
      <c r="AE37" s="94"/>
      <c r="AF37" s="94"/>
      <c r="AG37" s="94"/>
      <c r="AH37" s="94"/>
      <c r="AI37" s="94"/>
      <c r="AJ37" s="94"/>
      <c r="AK37" s="94"/>
      <c r="AL37" s="94"/>
      <c r="AM37" s="94"/>
      <c r="AN37" s="94"/>
      <c r="AO37" s="94"/>
      <c r="AP37" s="94"/>
    </row>
    <row r="38" spans="1:64" ht="5.45" customHeight="1" x14ac:dyDescent="0.25">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5"/>
    </row>
    <row r="39" spans="1:64" ht="15" x14ac:dyDescent="0.25">
      <c r="A39" s="210"/>
      <c r="B39" s="2070" t="s">
        <v>782</v>
      </c>
      <c r="C39" s="2070"/>
      <c r="D39" s="2070"/>
      <c r="E39" s="2070"/>
      <c r="F39" s="2070"/>
      <c r="G39" s="2070"/>
      <c r="H39" s="2070"/>
      <c r="I39" s="2070"/>
      <c r="J39" s="2070"/>
      <c r="K39" s="2070"/>
      <c r="L39" s="2070"/>
      <c r="M39" s="2070"/>
      <c r="N39" s="2070"/>
      <c r="O39" s="2070"/>
      <c r="P39" s="2070"/>
      <c r="Q39" s="2070"/>
      <c r="R39" s="2070"/>
      <c r="S39" s="2070"/>
      <c r="T39" s="2070"/>
      <c r="U39" s="2070"/>
      <c r="V39" s="2070"/>
      <c r="W39" s="2070"/>
      <c r="X39" s="2070"/>
      <c r="Y39" s="2070"/>
      <c r="Z39" s="2070"/>
      <c r="AA39" s="210"/>
      <c r="AB39" s="215"/>
    </row>
    <row r="40" spans="1:64" ht="14.45" customHeight="1" x14ac:dyDescent="0.25">
      <c r="A40" s="210"/>
      <c r="B40" s="992" t="s">
        <v>928</v>
      </c>
      <c r="C40" s="210"/>
      <c r="D40" s="210"/>
      <c r="E40" s="210"/>
      <c r="F40" s="210"/>
      <c r="G40" s="210"/>
      <c r="H40" s="210"/>
      <c r="I40" s="210"/>
      <c r="J40" s="210"/>
      <c r="K40" s="210"/>
      <c r="L40" s="210"/>
      <c r="M40" s="210"/>
      <c r="N40" s="210"/>
      <c r="O40" s="210"/>
      <c r="P40" s="214"/>
      <c r="Q40" s="210"/>
      <c r="R40" s="210"/>
      <c r="S40" s="210"/>
      <c r="T40" s="210"/>
      <c r="U40" s="210"/>
      <c r="V40" s="210"/>
      <c r="W40" s="210"/>
      <c r="X40" s="210"/>
      <c r="Y40" s="210"/>
      <c r="Z40" s="210"/>
      <c r="AA40" s="210"/>
    </row>
    <row r="41" spans="1:64" ht="13.15" customHeight="1" x14ac:dyDescent="0.25">
      <c r="A41" s="210"/>
      <c r="B41" s="992" t="s">
        <v>929</v>
      </c>
      <c r="C41" s="210"/>
      <c r="D41" s="210"/>
      <c r="E41" s="210"/>
      <c r="F41" s="210"/>
      <c r="G41" s="210"/>
      <c r="H41" s="210"/>
      <c r="I41" s="210"/>
      <c r="J41" s="210"/>
      <c r="K41" s="210"/>
      <c r="L41" s="210"/>
      <c r="M41" s="210"/>
      <c r="N41" s="210"/>
      <c r="O41" s="210"/>
      <c r="P41" s="214"/>
      <c r="Q41" s="210"/>
      <c r="R41" s="210"/>
      <c r="S41" s="210"/>
      <c r="T41" s="210"/>
      <c r="U41" s="210"/>
      <c r="V41" s="210"/>
      <c r="W41" s="210"/>
      <c r="X41" s="210"/>
      <c r="Y41" s="210"/>
      <c r="Z41" s="210"/>
      <c r="AA41" s="210"/>
    </row>
    <row r="42" spans="1:64" ht="18.75" customHeight="1" x14ac:dyDescent="0.25">
      <c r="A42" s="210"/>
      <c r="B42" s="210"/>
      <c r="C42" s="210"/>
      <c r="D42" s="210"/>
      <c r="E42" s="210"/>
      <c r="F42" s="210"/>
      <c r="G42" s="210"/>
      <c r="H42" s="210"/>
      <c r="I42" s="210"/>
      <c r="J42" s="210"/>
      <c r="K42" s="210"/>
      <c r="L42" s="210"/>
      <c r="M42" s="210"/>
      <c r="N42" s="210"/>
      <c r="O42" s="210"/>
      <c r="P42" s="214"/>
      <c r="Q42" s="210"/>
      <c r="R42" s="210"/>
      <c r="S42" s="210"/>
      <c r="T42" s="210"/>
      <c r="U42" s="210"/>
      <c r="V42" s="210"/>
      <c r="W42" s="210"/>
      <c r="X42" s="210"/>
      <c r="Y42" s="210"/>
      <c r="Z42" s="210"/>
      <c r="AA42" s="210"/>
    </row>
    <row r="43" spans="1:64" ht="18.75" customHeight="1" x14ac:dyDescent="0.25">
      <c r="A43" s="210"/>
      <c r="B43" s="210"/>
      <c r="C43" s="210"/>
      <c r="D43" s="210"/>
      <c r="E43" s="210"/>
      <c r="F43" s="210"/>
      <c r="G43" s="210"/>
      <c r="H43" s="210"/>
      <c r="I43" s="210"/>
      <c r="J43" s="210"/>
      <c r="K43" s="210"/>
      <c r="L43" s="210"/>
      <c r="M43" s="210"/>
      <c r="N43" s="210"/>
      <c r="O43" s="210"/>
      <c r="P43" s="214"/>
      <c r="Q43" s="210"/>
      <c r="R43" s="210"/>
      <c r="S43" s="210"/>
      <c r="T43" s="210"/>
      <c r="U43" s="210"/>
      <c r="V43" s="210"/>
      <c r="W43" s="210"/>
      <c r="X43" s="210"/>
      <c r="Y43" s="210"/>
      <c r="Z43" s="210"/>
      <c r="AA43" s="210"/>
    </row>
    <row r="44" spans="1:64" ht="18.75" customHeight="1" x14ac:dyDescent="0.25">
      <c r="A44" s="210"/>
      <c r="B44" s="210"/>
      <c r="C44" s="210"/>
      <c r="D44" s="210"/>
      <c r="E44" s="210"/>
      <c r="F44" s="210"/>
      <c r="G44" s="210"/>
      <c r="H44" s="210"/>
      <c r="I44" s="210"/>
      <c r="J44" s="210"/>
      <c r="K44" s="210"/>
      <c r="L44" s="210"/>
      <c r="M44" s="210"/>
      <c r="N44" s="210"/>
      <c r="O44" s="210"/>
      <c r="P44" s="214"/>
      <c r="Q44" s="210"/>
      <c r="R44" s="210"/>
      <c r="S44" s="210"/>
      <c r="T44" s="210"/>
      <c r="U44" s="210"/>
      <c r="V44" s="210"/>
      <c r="W44" s="210"/>
      <c r="X44" s="210"/>
      <c r="Y44" s="210"/>
      <c r="Z44" s="210"/>
      <c r="AA44" s="210"/>
    </row>
    <row r="45" spans="1:64" ht="18.75" customHeight="1" x14ac:dyDescent="0.25">
      <c r="B45" s="210"/>
      <c r="C45" s="210"/>
      <c r="D45" s="210"/>
      <c r="E45" s="210"/>
      <c r="F45" s="210"/>
      <c r="G45" s="210"/>
      <c r="H45" s="210"/>
      <c r="I45" s="210"/>
      <c r="J45" s="210"/>
      <c r="K45" s="210"/>
      <c r="L45" s="210"/>
      <c r="M45" s="210"/>
      <c r="N45" s="210"/>
      <c r="O45" s="210"/>
      <c r="P45" s="214"/>
      <c r="Q45" s="210"/>
      <c r="R45" s="210"/>
      <c r="S45" s="210"/>
      <c r="T45" s="210"/>
      <c r="U45" s="210"/>
      <c r="V45" s="210"/>
      <c r="W45" s="210"/>
      <c r="X45" s="210"/>
      <c r="Y45" s="210"/>
      <c r="Z45" s="210"/>
      <c r="AA45" s="210"/>
    </row>
    <row r="46" spans="1:64" s="123" customFormat="1" ht="18.75" customHeight="1" x14ac:dyDescent="0.25">
      <c r="A46" s="21"/>
      <c r="B46" s="210"/>
      <c r="C46" s="210"/>
      <c r="D46" s="210"/>
      <c r="E46" s="210"/>
      <c r="F46" s="210"/>
      <c r="G46" s="210"/>
      <c r="H46" s="210"/>
      <c r="I46" s="210"/>
      <c r="J46" s="210"/>
      <c r="K46" s="210"/>
      <c r="L46" s="210"/>
      <c r="M46" s="210"/>
      <c r="N46" s="210"/>
      <c r="O46" s="210"/>
      <c r="P46" s="214"/>
      <c r="Q46" s="210"/>
      <c r="R46" s="210"/>
      <c r="S46" s="210"/>
      <c r="T46" s="210"/>
      <c r="U46" s="210"/>
      <c r="V46" s="210"/>
      <c r="W46" s="210"/>
      <c r="X46" s="210"/>
      <c r="Y46" s="210"/>
      <c r="Z46" s="210"/>
      <c r="AA46" s="210"/>
      <c r="AC46" s="94"/>
      <c r="AD46" s="94"/>
      <c r="AE46" s="94"/>
      <c r="AF46" s="94"/>
      <c r="AG46" s="94"/>
      <c r="AH46" s="94"/>
      <c r="AI46" s="94"/>
      <c r="AJ46" s="94"/>
      <c r="AK46" s="94"/>
      <c r="AL46" s="94"/>
      <c r="AM46" s="94"/>
      <c r="AN46" s="94"/>
      <c r="AO46" s="94"/>
      <c r="AP46" s="94"/>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s="123" customFormat="1" ht="18.75" customHeight="1" x14ac:dyDescent="0.25">
      <c r="A47" s="21"/>
      <c r="B47" s="210"/>
      <c r="C47" s="210"/>
      <c r="D47" s="210"/>
      <c r="E47" s="210"/>
      <c r="F47" s="210"/>
      <c r="G47" s="210"/>
      <c r="H47" s="210"/>
      <c r="I47" s="210"/>
      <c r="J47" s="210"/>
      <c r="K47" s="210"/>
      <c r="L47" s="210"/>
      <c r="M47" s="210"/>
      <c r="N47" s="210"/>
      <c r="O47" s="210"/>
      <c r="P47" s="214"/>
      <c r="Q47" s="210"/>
      <c r="R47" s="210"/>
      <c r="S47" s="210"/>
      <c r="T47" s="210"/>
      <c r="U47" s="210"/>
      <c r="V47" s="210"/>
      <c r="W47" s="210"/>
      <c r="X47" s="210"/>
      <c r="Y47" s="210"/>
      <c r="Z47" s="210"/>
      <c r="AA47" s="210"/>
      <c r="AC47" s="94"/>
      <c r="AD47" s="94"/>
      <c r="AE47" s="94"/>
      <c r="AF47" s="94"/>
      <c r="AG47" s="94"/>
      <c r="AH47" s="94"/>
      <c r="AI47" s="94"/>
      <c r="AJ47" s="94"/>
      <c r="AK47" s="94"/>
      <c r="AL47" s="94"/>
      <c r="AM47" s="94"/>
      <c r="AN47" s="94"/>
      <c r="AO47" s="94"/>
      <c r="AP47" s="94"/>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s="123" customFormat="1" ht="18.75" customHeight="1" x14ac:dyDescent="0.25">
      <c r="A48" s="21"/>
      <c r="B48" s="210"/>
      <c r="C48" s="210"/>
      <c r="D48" s="210"/>
      <c r="E48" s="210"/>
      <c r="F48" s="210"/>
      <c r="G48" s="210"/>
      <c r="H48" s="210"/>
      <c r="I48" s="210"/>
      <c r="J48" s="210"/>
      <c r="K48" s="210"/>
      <c r="L48" s="210"/>
      <c r="M48" s="210"/>
      <c r="N48" s="210"/>
      <c r="O48" s="210"/>
      <c r="P48" s="214"/>
      <c r="Q48" s="210"/>
      <c r="R48" s="210"/>
      <c r="S48" s="210"/>
      <c r="T48" s="210"/>
      <c r="U48" s="210"/>
      <c r="V48" s="210"/>
      <c r="W48" s="210"/>
      <c r="X48" s="210"/>
      <c r="Y48" s="210"/>
      <c r="Z48" s="210"/>
      <c r="AA48" s="210"/>
      <c r="AC48" s="94"/>
      <c r="AD48" s="94"/>
      <c r="AE48" s="94"/>
      <c r="AF48" s="94"/>
      <c r="AG48" s="94"/>
      <c r="AH48" s="94"/>
      <c r="AI48" s="94"/>
      <c r="AJ48" s="94"/>
      <c r="AK48" s="94"/>
      <c r="AL48" s="94"/>
      <c r="AM48" s="94"/>
      <c r="AN48" s="94"/>
      <c r="AO48" s="94"/>
      <c r="AP48" s="94"/>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s="123" customFormat="1" ht="18.75" customHeight="1" x14ac:dyDescent="0.25">
      <c r="A49" s="21"/>
      <c r="B49" s="210"/>
      <c r="C49" s="210"/>
      <c r="D49" s="210"/>
      <c r="E49" s="210"/>
      <c r="F49" s="210"/>
      <c r="G49" s="210"/>
      <c r="H49" s="210"/>
      <c r="I49" s="210"/>
      <c r="J49" s="210"/>
      <c r="K49" s="210"/>
      <c r="L49" s="210"/>
      <c r="M49" s="210"/>
      <c r="N49" s="210"/>
      <c r="O49" s="210"/>
      <c r="P49" s="214"/>
      <c r="Q49" s="210"/>
      <c r="R49" s="210"/>
      <c r="S49" s="210"/>
      <c r="T49" s="210"/>
      <c r="U49" s="210"/>
      <c r="V49" s="210"/>
      <c r="W49" s="210"/>
      <c r="X49" s="210"/>
      <c r="Y49" s="210"/>
      <c r="Z49" s="210"/>
      <c r="AA49" s="210"/>
      <c r="AC49" s="94"/>
      <c r="AD49" s="94"/>
      <c r="AE49" s="94"/>
      <c r="AF49" s="94"/>
      <c r="AG49" s="94"/>
      <c r="AH49" s="94"/>
      <c r="AI49" s="94"/>
      <c r="AJ49" s="94"/>
      <c r="AK49" s="94"/>
      <c r="AL49" s="94"/>
      <c r="AM49" s="94"/>
      <c r="AN49" s="94"/>
      <c r="AO49" s="94"/>
      <c r="AP49" s="94"/>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s="123" customFormat="1" ht="18.75" customHeight="1" x14ac:dyDescent="0.25">
      <c r="A50" s="21"/>
      <c r="B50" s="210"/>
      <c r="C50" s="210"/>
      <c r="D50" s="210"/>
      <c r="E50" s="210"/>
      <c r="F50" s="210"/>
      <c r="G50" s="210"/>
      <c r="H50" s="210"/>
      <c r="I50" s="210"/>
      <c r="J50" s="210"/>
      <c r="K50" s="210"/>
      <c r="L50" s="210"/>
      <c r="M50" s="210"/>
      <c r="N50" s="210"/>
      <c r="O50" s="210"/>
      <c r="P50" s="214"/>
      <c r="Q50" s="210"/>
      <c r="R50" s="210"/>
      <c r="S50" s="210"/>
      <c r="T50" s="210"/>
      <c r="U50" s="210"/>
      <c r="V50" s="210"/>
      <c r="W50" s="210"/>
      <c r="X50" s="210"/>
      <c r="Y50" s="210"/>
      <c r="Z50" s="210"/>
      <c r="AA50" s="210"/>
      <c r="AC50" s="94"/>
      <c r="AD50" s="94"/>
      <c r="AE50" s="94"/>
      <c r="AF50" s="94"/>
      <c r="AG50" s="94"/>
      <c r="AH50" s="94"/>
      <c r="AI50" s="94"/>
      <c r="AJ50" s="94"/>
      <c r="AK50" s="94"/>
      <c r="AL50" s="94"/>
      <c r="AM50" s="94"/>
      <c r="AN50" s="94"/>
      <c r="AO50" s="94"/>
      <c r="AP50" s="94"/>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s="123" customFormat="1" ht="18.75" customHeight="1" x14ac:dyDescent="0.25">
      <c r="A51" s="21"/>
      <c r="B51" s="210"/>
      <c r="C51" s="210"/>
      <c r="D51" s="210"/>
      <c r="E51" s="210"/>
      <c r="F51" s="210"/>
      <c r="G51" s="210"/>
      <c r="H51" s="210"/>
      <c r="I51" s="210"/>
      <c r="J51" s="210"/>
      <c r="K51" s="210"/>
      <c r="L51" s="210"/>
      <c r="M51" s="210"/>
      <c r="N51" s="210"/>
      <c r="O51" s="210"/>
      <c r="P51" s="214"/>
      <c r="Q51" s="210"/>
      <c r="R51" s="210"/>
      <c r="S51" s="210"/>
      <c r="T51" s="210"/>
      <c r="U51" s="210"/>
      <c r="V51" s="210"/>
      <c r="W51" s="210"/>
      <c r="X51" s="210"/>
      <c r="Y51" s="210"/>
      <c r="Z51" s="210"/>
      <c r="AA51" s="210"/>
      <c r="AC51" s="94"/>
      <c r="AD51" s="94"/>
      <c r="AE51" s="94"/>
      <c r="AF51" s="94"/>
      <c r="AG51" s="94"/>
      <c r="AH51" s="94"/>
      <c r="AI51" s="94"/>
      <c r="AJ51" s="94"/>
      <c r="AK51" s="94"/>
      <c r="AL51" s="94"/>
      <c r="AM51" s="94"/>
      <c r="AN51" s="94"/>
      <c r="AO51" s="94"/>
      <c r="AP51" s="94"/>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s="123" customFormat="1" ht="18.75" customHeight="1" x14ac:dyDescent="0.25">
      <c r="A52" s="21"/>
      <c r="B52" s="210"/>
      <c r="C52" s="210"/>
      <c r="D52" s="210"/>
      <c r="E52" s="210"/>
      <c r="F52" s="210"/>
      <c r="G52" s="210"/>
      <c r="H52" s="210"/>
      <c r="I52" s="210"/>
      <c r="J52" s="210"/>
      <c r="K52" s="210"/>
      <c r="L52" s="210"/>
      <c r="M52" s="210"/>
      <c r="N52" s="210"/>
      <c r="O52" s="210"/>
      <c r="P52" s="214"/>
      <c r="Q52" s="210"/>
      <c r="R52" s="210"/>
      <c r="S52" s="210"/>
      <c r="T52" s="210"/>
      <c r="U52" s="210"/>
      <c r="V52" s="210"/>
      <c r="W52" s="210"/>
      <c r="X52" s="210"/>
      <c r="Y52" s="210"/>
      <c r="Z52" s="210"/>
      <c r="AA52" s="210"/>
      <c r="AC52" s="94"/>
      <c r="AD52" s="94"/>
      <c r="AE52" s="94"/>
      <c r="AF52" s="94"/>
      <c r="AG52" s="94"/>
      <c r="AH52" s="94"/>
      <c r="AI52" s="94"/>
      <c r="AJ52" s="94"/>
      <c r="AK52" s="94"/>
      <c r="AL52" s="94"/>
      <c r="AM52" s="94"/>
      <c r="AN52" s="94"/>
      <c r="AO52" s="94"/>
      <c r="AP52" s="94"/>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s="123" customFormat="1" ht="18.75" customHeight="1" x14ac:dyDescent="0.25">
      <c r="A53" s="21"/>
      <c r="B53" s="210"/>
      <c r="C53" s="210"/>
      <c r="D53" s="210"/>
      <c r="E53" s="210"/>
      <c r="F53" s="210"/>
      <c r="G53" s="210"/>
      <c r="H53" s="210"/>
      <c r="I53" s="210"/>
      <c r="J53" s="210"/>
      <c r="K53" s="210"/>
      <c r="L53" s="210"/>
      <c r="M53" s="210"/>
      <c r="N53" s="210"/>
      <c r="O53" s="210"/>
      <c r="P53" s="214"/>
      <c r="Q53" s="210"/>
      <c r="R53" s="210"/>
      <c r="S53" s="210"/>
      <c r="T53" s="210"/>
      <c r="U53" s="210"/>
      <c r="V53" s="210"/>
      <c r="W53" s="210"/>
      <c r="X53" s="210"/>
      <c r="Y53" s="210"/>
      <c r="Z53" s="210"/>
      <c r="AA53" s="210"/>
      <c r="AC53" s="94"/>
      <c r="AD53" s="94"/>
      <c r="AE53" s="94"/>
      <c r="AF53" s="94"/>
      <c r="AG53" s="94"/>
      <c r="AH53" s="94"/>
      <c r="AI53" s="94"/>
      <c r="AJ53" s="94"/>
      <c r="AK53" s="94"/>
      <c r="AL53" s="94"/>
      <c r="AM53" s="94"/>
      <c r="AN53" s="94"/>
      <c r="AO53" s="94"/>
      <c r="AP53" s="94"/>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s="123" customFormat="1" ht="18.75" customHeight="1" x14ac:dyDescent="0.25">
      <c r="A54" s="21"/>
      <c r="B54" s="210"/>
      <c r="C54" s="210"/>
      <c r="D54" s="210"/>
      <c r="E54" s="210"/>
      <c r="F54" s="210"/>
      <c r="G54" s="210"/>
      <c r="H54" s="210"/>
      <c r="I54" s="210"/>
      <c r="J54" s="210"/>
      <c r="K54" s="210"/>
      <c r="L54" s="210"/>
      <c r="M54" s="210"/>
      <c r="N54" s="210"/>
      <c r="O54" s="210"/>
      <c r="P54" s="214"/>
      <c r="Q54" s="210"/>
      <c r="R54" s="210"/>
      <c r="S54" s="210"/>
      <c r="T54" s="210"/>
      <c r="U54" s="210"/>
      <c r="V54" s="210"/>
      <c r="W54" s="210"/>
      <c r="X54" s="210"/>
      <c r="Y54" s="210"/>
      <c r="Z54" s="210"/>
      <c r="AA54" s="210"/>
      <c r="AC54" s="94"/>
      <c r="AD54" s="94"/>
      <c r="AE54" s="94"/>
      <c r="AF54" s="94"/>
      <c r="AG54" s="94"/>
      <c r="AH54" s="94"/>
      <c r="AI54" s="94"/>
      <c r="AJ54" s="94"/>
      <c r="AK54" s="94"/>
      <c r="AL54" s="94"/>
      <c r="AM54" s="94"/>
      <c r="AN54" s="94"/>
      <c r="AO54" s="94"/>
      <c r="AP54" s="94"/>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s="123" customFormat="1" ht="18.75" customHeight="1" x14ac:dyDescent="0.25">
      <c r="A55" s="21"/>
      <c r="B55" s="210"/>
      <c r="C55" s="210"/>
      <c r="D55" s="210"/>
      <c r="E55" s="210"/>
      <c r="F55" s="210"/>
      <c r="G55" s="210"/>
      <c r="H55" s="210"/>
      <c r="I55" s="210"/>
      <c r="J55" s="210"/>
      <c r="K55" s="210"/>
      <c r="L55" s="210"/>
      <c r="M55" s="210"/>
      <c r="N55" s="210"/>
      <c r="O55" s="210"/>
      <c r="P55" s="214"/>
      <c r="Q55" s="210"/>
      <c r="R55" s="210"/>
      <c r="S55" s="210"/>
      <c r="T55" s="210"/>
      <c r="U55" s="210"/>
      <c r="V55" s="210"/>
      <c r="W55" s="210"/>
      <c r="X55" s="210"/>
      <c r="Y55" s="210"/>
      <c r="Z55" s="210"/>
      <c r="AA55" s="210"/>
      <c r="AC55" s="94"/>
      <c r="AD55" s="94"/>
      <c r="AE55" s="94"/>
      <c r="AF55" s="94"/>
      <c r="AG55" s="94"/>
      <c r="AH55" s="94"/>
      <c r="AI55" s="94"/>
      <c r="AJ55" s="94"/>
      <c r="AK55" s="94"/>
      <c r="AL55" s="94"/>
      <c r="AM55" s="94"/>
      <c r="AN55" s="94"/>
      <c r="AO55" s="94"/>
      <c r="AP55" s="94"/>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64" s="123" customFormat="1" ht="18.75" customHeight="1" x14ac:dyDescent="0.25">
      <c r="A56" s="21"/>
      <c r="B56" s="210"/>
      <c r="C56" s="210"/>
      <c r="D56" s="210"/>
      <c r="E56" s="210"/>
      <c r="F56" s="210"/>
      <c r="G56" s="210"/>
      <c r="H56" s="210"/>
      <c r="I56" s="210"/>
      <c r="J56" s="210"/>
      <c r="K56" s="210"/>
      <c r="L56" s="210"/>
      <c r="M56" s="210"/>
      <c r="N56" s="210"/>
      <c r="O56" s="210"/>
      <c r="P56" s="214"/>
      <c r="Q56" s="210"/>
      <c r="R56" s="210"/>
      <c r="S56" s="210"/>
      <c r="T56" s="210"/>
      <c r="U56" s="210"/>
      <c r="V56" s="210"/>
      <c r="W56" s="210"/>
      <c r="X56" s="210"/>
      <c r="Y56" s="210"/>
      <c r="Z56" s="210"/>
      <c r="AA56" s="210"/>
      <c r="AC56" s="94"/>
      <c r="AD56" s="94"/>
      <c r="AE56" s="94"/>
      <c r="AF56" s="94"/>
      <c r="AG56" s="94"/>
      <c r="AH56" s="94"/>
      <c r="AI56" s="94"/>
      <c r="AJ56" s="94"/>
      <c r="AK56" s="94"/>
      <c r="AL56" s="94"/>
      <c r="AM56" s="94"/>
      <c r="AN56" s="94"/>
      <c r="AO56" s="94"/>
      <c r="AP56" s="94"/>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row>
    <row r="57" spans="1:64" s="123" customFormat="1" ht="18.75" customHeight="1" x14ac:dyDescent="0.25">
      <c r="A57" s="21"/>
      <c r="B57" s="210"/>
      <c r="C57" s="210"/>
      <c r="D57" s="210"/>
      <c r="E57" s="210"/>
      <c r="F57" s="210"/>
      <c r="G57" s="210"/>
      <c r="H57" s="210"/>
      <c r="I57" s="210"/>
      <c r="J57" s="210"/>
      <c r="K57" s="210"/>
      <c r="L57" s="210"/>
      <c r="M57" s="210"/>
      <c r="N57" s="210"/>
      <c r="O57" s="210"/>
      <c r="P57" s="214"/>
      <c r="Q57" s="210"/>
      <c r="R57" s="210"/>
      <c r="S57" s="210"/>
      <c r="T57" s="210"/>
      <c r="U57" s="210"/>
      <c r="V57" s="210"/>
      <c r="W57" s="210"/>
      <c r="X57" s="210"/>
      <c r="Y57" s="210"/>
      <c r="Z57" s="210"/>
      <c r="AA57" s="210"/>
      <c r="AC57" s="94"/>
      <c r="AD57" s="94"/>
      <c r="AE57" s="94"/>
      <c r="AF57" s="94"/>
      <c r="AG57" s="94"/>
      <c r="AH57" s="94"/>
      <c r="AI57" s="94"/>
      <c r="AJ57" s="94"/>
      <c r="AK57" s="94"/>
      <c r="AL57" s="94"/>
      <c r="AM57" s="94"/>
      <c r="AN57" s="94"/>
      <c r="AO57" s="94"/>
      <c r="AP57" s="94"/>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row>
    <row r="58" spans="1:64" s="123" customFormat="1" ht="18.75" customHeight="1" x14ac:dyDescent="0.25">
      <c r="A58" s="21"/>
      <c r="B58" s="210"/>
      <c r="C58" s="210"/>
      <c r="D58" s="210"/>
      <c r="E58" s="210"/>
      <c r="F58" s="210"/>
      <c r="G58" s="210"/>
      <c r="H58" s="210"/>
      <c r="I58" s="210"/>
      <c r="J58" s="210"/>
      <c r="K58" s="210"/>
      <c r="L58" s="210"/>
      <c r="M58" s="210"/>
      <c r="N58" s="210"/>
      <c r="O58" s="210"/>
      <c r="P58" s="214"/>
      <c r="Q58" s="210"/>
      <c r="R58" s="210"/>
      <c r="S58" s="210"/>
      <c r="T58" s="210"/>
      <c r="U58" s="210"/>
      <c r="V58" s="210"/>
      <c r="W58" s="210"/>
      <c r="X58" s="210"/>
      <c r="Y58" s="210"/>
      <c r="Z58" s="210"/>
      <c r="AA58" s="210"/>
      <c r="AC58" s="94"/>
      <c r="AD58" s="94"/>
      <c r="AE58" s="94"/>
      <c r="AF58" s="94"/>
      <c r="AG58" s="94"/>
      <c r="AH58" s="94"/>
      <c r="AI58" s="94"/>
      <c r="AJ58" s="94"/>
      <c r="AK58" s="94"/>
      <c r="AL58" s="94"/>
      <c r="AM58" s="94"/>
      <c r="AN58" s="94"/>
      <c r="AO58" s="94"/>
      <c r="AP58" s="94"/>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64" s="123" customFormat="1" ht="18.75" customHeight="1" x14ac:dyDescent="0.25">
      <c r="A59" s="21"/>
      <c r="B59" s="210"/>
      <c r="C59" s="210"/>
      <c r="D59" s="210"/>
      <c r="E59" s="210"/>
      <c r="F59" s="210"/>
      <c r="G59" s="210"/>
      <c r="H59" s="210"/>
      <c r="I59" s="210"/>
      <c r="J59" s="210"/>
      <c r="K59" s="210"/>
      <c r="L59" s="210"/>
      <c r="M59" s="210"/>
      <c r="N59" s="210"/>
      <c r="O59" s="210"/>
      <c r="P59" s="214"/>
      <c r="Q59" s="210"/>
      <c r="R59" s="210"/>
      <c r="S59" s="210"/>
      <c r="T59" s="210"/>
      <c r="U59" s="210"/>
      <c r="V59" s="210"/>
      <c r="W59" s="210"/>
      <c r="X59" s="210"/>
      <c r="Y59" s="210"/>
      <c r="Z59" s="210"/>
      <c r="AA59" s="210"/>
      <c r="AC59" s="94"/>
      <c r="AD59" s="94"/>
      <c r="AE59" s="94"/>
      <c r="AF59" s="94"/>
      <c r="AG59" s="94"/>
      <c r="AH59" s="94"/>
      <c r="AI59" s="94"/>
      <c r="AJ59" s="94"/>
      <c r="AK59" s="94"/>
      <c r="AL59" s="94"/>
      <c r="AM59" s="94"/>
      <c r="AN59" s="94"/>
      <c r="AO59" s="94"/>
      <c r="AP59" s="94"/>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row>
    <row r="60" spans="1:64" s="123" customFormat="1" ht="18.75" customHeight="1" x14ac:dyDescent="0.25">
      <c r="A60" s="21"/>
      <c r="B60" s="210"/>
      <c r="C60" s="210"/>
      <c r="D60" s="210"/>
      <c r="E60" s="210"/>
      <c r="F60" s="210"/>
      <c r="G60" s="210"/>
      <c r="H60" s="210"/>
      <c r="I60" s="210"/>
      <c r="J60" s="210"/>
      <c r="K60" s="210"/>
      <c r="L60" s="210"/>
      <c r="M60" s="210"/>
      <c r="N60" s="210"/>
      <c r="O60" s="210"/>
      <c r="P60" s="214"/>
      <c r="Q60" s="210"/>
      <c r="R60" s="210"/>
      <c r="S60" s="210"/>
      <c r="T60" s="210"/>
      <c r="U60" s="210"/>
      <c r="V60" s="210"/>
      <c r="W60" s="210"/>
      <c r="X60" s="210"/>
      <c r="Y60" s="210"/>
      <c r="Z60" s="210"/>
      <c r="AA60" s="210"/>
      <c r="AC60" s="94"/>
      <c r="AD60" s="94"/>
      <c r="AE60" s="94"/>
      <c r="AF60" s="94"/>
      <c r="AG60" s="94"/>
      <c r="AH60" s="94"/>
      <c r="AI60" s="94"/>
      <c r="AJ60" s="94"/>
      <c r="AK60" s="94"/>
      <c r="AL60" s="94"/>
      <c r="AM60" s="94"/>
      <c r="AN60" s="94"/>
      <c r="AO60" s="94"/>
      <c r="AP60" s="94"/>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row>
    <row r="61" spans="1:64" s="123" customFormat="1" ht="18.75" customHeight="1" x14ac:dyDescent="0.25">
      <c r="A61" s="21"/>
      <c r="B61" s="210"/>
      <c r="C61" s="210"/>
      <c r="D61" s="210"/>
      <c r="E61" s="210"/>
      <c r="F61" s="210"/>
      <c r="G61" s="210"/>
      <c r="H61" s="210"/>
      <c r="I61" s="210"/>
      <c r="J61" s="210"/>
      <c r="K61" s="210"/>
      <c r="L61" s="210"/>
      <c r="M61" s="210"/>
      <c r="N61" s="210"/>
      <c r="O61" s="210"/>
      <c r="P61" s="214"/>
      <c r="Q61" s="210"/>
      <c r="R61" s="210"/>
      <c r="S61" s="210"/>
      <c r="T61" s="210"/>
      <c r="U61" s="210"/>
      <c r="V61" s="210"/>
      <c r="W61" s="210"/>
      <c r="X61" s="210"/>
      <c r="Y61" s="210"/>
      <c r="Z61" s="210"/>
      <c r="AA61" s="210"/>
      <c r="AC61" s="94"/>
      <c r="AD61" s="94"/>
      <c r="AE61" s="94"/>
      <c r="AF61" s="94"/>
      <c r="AG61" s="94"/>
      <c r="AH61" s="94"/>
      <c r="AI61" s="94"/>
      <c r="AJ61" s="94"/>
      <c r="AK61" s="94"/>
      <c r="AL61" s="94"/>
      <c r="AM61" s="94"/>
      <c r="AN61" s="94"/>
      <c r="AO61" s="94"/>
      <c r="AP61" s="94"/>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64" s="123" customFormat="1" ht="18.75" customHeight="1" x14ac:dyDescent="0.25">
      <c r="A62" s="21"/>
      <c r="B62" s="210"/>
      <c r="C62" s="210"/>
      <c r="D62" s="210"/>
      <c r="E62" s="210"/>
      <c r="F62" s="210"/>
      <c r="G62" s="210"/>
      <c r="H62" s="210"/>
      <c r="I62" s="210"/>
      <c r="J62" s="210"/>
      <c r="K62" s="210"/>
      <c r="L62" s="210"/>
      <c r="M62" s="210"/>
      <c r="N62" s="210"/>
      <c r="O62" s="210"/>
      <c r="P62" s="214"/>
      <c r="Q62" s="210"/>
      <c r="R62" s="210"/>
      <c r="S62" s="210"/>
      <c r="T62" s="210"/>
      <c r="U62" s="210"/>
      <c r="V62" s="210"/>
      <c r="W62" s="210"/>
      <c r="X62" s="210"/>
      <c r="Y62" s="210"/>
      <c r="Z62" s="210"/>
      <c r="AA62" s="210"/>
      <c r="AC62" s="94"/>
      <c r="AD62" s="94"/>
      <c r="AE62" s="94"/>
      <c r="AF62" s="94"/>
      <c r="AG62" s="94"/>
      <c r="AH62" s="94"/>
      <c r="AI62" s="94"/>
      <c r="AJ62" s="94"/>
      <c r="AK62" s="94"/>
      <c r="AL62" s="94"/>
      <c r="AM62" s="94"/>
      <c r="AN62" s="94"/>
      <c r="AO62" s="94"/>
      <c r="AP62" s="94"/>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64" s="123" customFormat="1" ht="18.75" customHeight="1" x14ac:dyDescent="0.25">
      <c r="A63" s="21"/>
      <c r="B63" s="210"/>
      <c r="C63" s="210"/>
      <c r="D63" s="210"/>
      <c r="E63" s="210"/>
      <c r="F63" s="210"/>
      <c r="G63" s="210"/>
      <c r="H63" s="210"/>
      <c r="I63" s="210"/>
      <c r="J63" s="210"/>
      <c r="K63" s="210"/>
      <c r="L63" s="210"/>
      <c r="M63" s="210"/>
      <c r="N63" s="210"/>
      <c r="O63" s="210"/>
      <c r="P63" s="214"/>
      <c r="Q63" s="210"/>
      <c r="R63" s="210"/>
      <c r="S63" s="210"/>
      <c r="T63" s="210"/>
      <c r="U63" s="210"/>
      <c r="V63" s="210"/>
      <c r="W63" s="210"/>
      <c r="X63" s="210"/>
      <c r="Y63" s="210"/>
      <c r="Z63" s="210"/>
      <c r="AA63" s="210"/>
      <c r="AC63" s="94"/>
      <c r="AD63" s="94"/>
      <c r="AE63" s="94"/>
      <c r="AF63" s="94"/>
      <c r="AG63" s="94"/>
      <c r="AH63" s="94"/>
      <c r="AI63" s="94"/>
      <c r="AJ63" s="94"/>
      <c r="AK63" s="94"/>
      <c r="AL63" s="94"/>
      <c r="AM63" s="94"/>
      <c r="AN63" s="94"/>
      <c r="AO63" s="94"/>
      <c r="AP63" s="94"/>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64" s="123" customFormat="1" ht="18.75" customHeight="1" x14ac:dyDescent="0.25">
      <c r="A64" s="21"/>
      <c r="B64" s="210"/>
      <c r="C64" s="210"/>
      <c r="D64" s="210"/>
      <c r="E64" s="210"/>
      <c r="F64" s="210"/>
      <c r="G64" s="210"/>
      <c r="H64" s="210"/>
      <c r="I64" s="210"/>
      <c r="J64" s="210"/>
      <c r="K64" s="210"/>
      <c r="L64" s="210"/>
      <c r="M64" s="210"/>
      <c r="N64" s="210"/>
      <c r="O64" s="210"/>
      <c r="P64" s="214"/>
      <c r="Q64" s="210"/>
      <c r="R64" s="210"/>
      <c r="S64" s="210"/>
      <c r="T64" s="210"/>
      <c r="U64" s="210"/>
      <c r="V64" s="210"/>
      <c r="W64" s="210"/>
      <c r="X64" s="210"/>
      <c r="Y64" s="210"/>
      <c r="Z64" s="210"/>
      <c r="AA64" s="210"/>
      <c r="AC64" s="94"/>
      <c r="AD64" s="94"/>
      <c r="AE64" s="94"/>
      <c r="AF64" s="94"/>
      <c r="AG64" s="94"/>
      <c r="AH64" s="94"/>
      <c r="AI64" s="94"/>
      <c r="AJ64" s="94"/>
      <c r="AK64" s="94"/>
      <c r="AL64" s="94"/>
      <c r="AM64" s="94"/>
      <c r="AN64" s="94"/>
      <c r="AO64" s="94"/>
      <c r="AP64" s="94"/>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row>
    <row r="65" spans="1:64" s="123" customFormat="1" ht="18.75" customHeight="1" x14ac:dyDescent="0.25">
      <c r="A65" s="21"/>
      <c r="B65" s="210"/>
      <c r="C65" s="210"/>
      <c r="D65" s="210"/>
      <c r="E65" s="210"/>
      <c r="F65" s="210"/>
      <c r="G65" s="210"/>
      <c r="H65" s="210"/>
      <c r="I65" s="210"/>
      <c r="J65" s="210"/>
      <c r="K65" s="210"/>
      <c r="L65" s="210"/>
      <c r="M65" s="210"/>
      <c r="N65" s="210"/>
      <c r="O65" s="210"/>
      <c r="P65" s="214"/>
      <c r="Q65" s="210"/>
      <c r="R65" s="210"/>
      <c r="S65" s="210"/>
      <c r="T65" s="210"/>
      <c r="U65" s="210"/>
      <c r="V65" s="210"/>
      <c r="W65" s="210"/>
      <c r="X65" s="210"/>
      <c r="Y65" s="210"/>
      <c r="Z65" s="210"/>
      <c r="AA65" s="210"/>
      <c r="AC65" s="94"/>
      <c r="AD65" s="94"/>
      <c r="AE65" s="94"/>
      <c r="AF65" s="94"/>
      <c r="AG65" s="94"/>
      <c r="AH65" s="94"/>
      <c r="AI65" s="94"/>
      <c r="AJ65" s="94"/>
      <c r="AK65" s="94"/>
      <c r="AL65" s="94"/>
      <c r="AM65" s="94"/>
      <c r="AN65" s="94"/>
      <c r="AO65" s="94"/>
      <c r="AP65" s="94"/>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row>
    <row r="66" spans="1:64" s="123" customFormat="1" ht="18.75" customHeight="1" x14ac:dyDescent="0.25">
      <c r="A66" s="21"/>
      <c r="B66" s="210"/>
      <c r="C66" s="210"/>
      <c r="D66" s="210"/>
      <c r="E66" s="210"/>
      <c r="F66" s="210"/>
      <c r="G66" s="210"/>
      <c r="H66" s="210"/>
      <c r="I66" s="210"/>
      <c r="J66" s="210"/>
      <c r="K66" s="210"/>
      <c r="L66" s="210"/>
      <c r="M66" s="210"/>
      <c r="N66" s="210"/>
      <c r="O66" s="210"/>
      <c r="P66" s="214"/>
      <c r="Q66" s="210"/>
      <c r="R66" s="210"/>
      <c r="S66" s="210"/>
      <c r="T66" s="210"/>
      <c r="U66" s="210"/>
      <c r="V66" s="210"/>
      <c r="W66" s="210"/>
      <c r="X66" s="210"/>
      <c r="Y66" s="210"/>
      <c r="Z66" s="210"/>
      <c r="AA66" s="210"/>
      <c r="AC66" s="94"/>
      <c r="AD66" s="94"/>
      <c r="AE66" s="94"/>
      <c r="AF66" s="94"/>
      <c r="AG66" s="94"/>
      <c r="AH66" s="94"/>
      <c r="AI66" s="94"/>
      <c r="AJ66" s="94"/>
      <c r="AK66" s="94"/>
      <c r="AL66" s="94"/>
      <c r="AM66" s="94"/>
      <c r="AN66" s="94"/>
      <c r="AO66" s="94"/>
      <c r="AP66" s="94"/>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64" s="123" customFormat="1" ht="18.75" customHeight="1" x14ac:dyDescent="0.25">
      <c r="A67" s="21"/>
      <c r="B67" s="210"/>
      <c r="C67" s="210"/>
      <c r="D67" s="210"/>
      <c r="E67" s="210"/>
      <c r="F67" s="210"/>
      <c r="G67" s="210"/>
      <c r="H67" s="210"/>
      <c r="I67" s="210"/>
      <c r="J67" s="210"/>
      <c r="K67" s="210"/>
      <c r="L67" s="210"/>
      <c r="M67" s="210"/>
      <c r="N67" s="210"/>
      <c r="O67" s="210"/>
      <c r="P67" s="214"/>
      <c r="Q67" s="210"/>
      <c r="R67" s="210"/>
      <c r="S67" s="210"/>
      <c r="T67" s="210"/>
      <c r="U67" s="210"/>
      <c r="V67" s="210"/>
      <c r="W67" s="210"/>
      <c r="X67" s="210"/>
      <c r="Y67" s="210"/>
      <c r="Z67" s="210"/>
      <c r="AA67" s="210"/>
      <c r="AC67" s="94"/>
      <c r="AD67" s="94"/>
      <c r="AE67" s="94"/>
      <c r="AF67" s="94"/>
      <c r="AG67" s="94"/>
      <c r="AH67" s="94"/>
      <c r="AI67" s="94"/>
      <c r="AJ67" s="94"/>
      <c r="AK67" s="94"/>
      <c r="AL67" s="94"/>
      <c r="AM67" s="94"/>
      <c r="AN67" s="94"/>
      <c r="AO67" s="94"/>
      <c r="AP67" s="94"/>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row>
    <row r="68" spans="1:64" s="123" customFormat="1" ht="18.75" customHeight="1" x14ac:dyDescent="0.25">
      <c r="A68" s="21"/>
      <c r="B68" s="210"/>
      <c r="C68" s="210"/>
      <c r="D68" s="210"/>
      <c r="E68" s="210"/>
      <c r="F68" s="210"/>
      <c r="G68" s="210"/>
      <c r="H68" s="210"/>
      <c r="I68" s="210"/>
      <c r="J68" s="210"/>
      <c r="K68" s="210"/>
      <c r="L68" s="210"/>
      <c r="M68" s="210"/>
      <c r="N68" s="210"/>
      <c r="O68" s="210"/>
      <c r="P68" s="214"/>
      <c r="Q68" s="210"/>
      <c r="R68" s="210"/>
      <c r="S68" s="210"/>
      <c r="T68" s="210"/>
      <c r="U68" s="210"/>
      <c r="V68" s="210"/>
      <c r="W68" s="210"/>
      <c r="X68" s="210"/>
      <c r="Y68" s="210"/>
      <c r="Z68" s="210"/>
      <c r="AA68" s="210"/>
      <c r="AC68" s="94"/>
      <c r="AD68" s="94"/>
      <c r="AE68" s="94"/>
      <c r="AF68" s="94"/>
      <c r="AG68" s="94"/>
      <c r="AH68" s="94"/>
      <c r="AI68" s="94"/>
      <c r="AJ68" s="94"/>
      <c r="AK68" s="94"/>
      <c r="AL68" s="94"/>
      <c r="AM68" s="94"/>
      <c r="AN68" s="94"/>
      <c r="AO68" s="94"/>
      <c r="AP68" s="94"/>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row>
    <row r="69" spans="1:64" s="123" customFormat="1" ht="18.75" customHeight="1" x14ac:dyDescent="0.25">
      <c r="A69" s="21"/>
      <c r="B69" s="210"/>
      <c r="C69" s="210"/>
      <c r="D69" s="210"/>
      <c r="E69" s="210"/>
      <c r="F69" s="210"/>
      <c r="G69" s="210"/>
      <c r="H69" s="210"/>
      <c r="I69" s="210"/>
      <c r="J69" s="210"/>
      <c r="K69" s="210"/>
      <c r="L69" s="210"/>
      <c r="M69" s="210"/>
      <c r="N69" s="210"/>
      <c r="O69" s="210"/>
      <c r="P69" s="214"/>
      <c r="Q69" s="210"/>
      <c r="R69" s="210"/>
      <c r="S69" s="210"/>
      <c r="T69" s="210"/>
      <c r="U69" s="210"/>
      <c r="V69" s="210"/>
      <c r="W69" s="210"/>
      <c r="X69" s="210"/>
      <c r="Y69" s="210"/>
      <c r="Z69" s="210"/>
      <c r="AA69" s="210"/>
      <c r="AC69" s="94"/>
      <c r="AD69" s="94"/>
      <c r="AE69" s="94"/>
      <c r="AF69" s="94"/>
      <c r="AG69" s="94"/>
      <c r="AH69" s="94"/>
      <c r="AI69" s="94"/>
      <c r="AJ69" s="94"/>
      <c r="AK69" s="94"/>
      <c r="AL69" s="94"/>
      <c r="AM69" s="94"/>
      <c r="AN69" s="94"/>
      <c r="AO69" s="94"/>
      <c r="AP69" s="94"/>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row>
    <row r="70" spans="1:64" s="123" customFormat="1" ht="18.75" customHeight="1" x14ac:dyDescent="0.25">
      <c r="A70" s="21"/>
      <c r="B70" s="210"/>
      <c r="C70" s="210"/>
      <c r="D70" s="210"/>
      <c r="E70" s="210"/>
      <c r="F70" s="210"/>
      <c r="G70" s="210"/>
      <c r="H70" s="210"/>
      <c r="I70" s="210"/>
      <c r="J70" s="210"/>
      <c r="K70" s="210"/>
      <c r="L70" s="210"/>
      <c r="M70" s="210"/>
      <c r="N70" s="210"/>
      <c r="O70" s="210"/>
      <c r="P70" s="214"/>
      <c r="Q70" s="210"/>
      <c r="R70" s="210"/>
      <c r="S70" s="210"/>
      <c r="T70" s="210"/>
      <c r="U70" s="210"/>
      <c r="V70" s="210"/>
      <c r="W70" s="210"/>
      <c r="X70" s="210"/>
      <c r="Y70" s="210"/>
      <c r="Z70" s="210"/>
      <c r="AA70" s="210"/>
      <c r="AC70" s="94"/>
      <c r="AD70" s="94"/>
      <c r="AE70" s="94"/>
      <c r="AF70" s="94"/>
      <c r="AG70" s="94"/>
      <c r="AH70" s="94"/>
      <c r="AI70" s="94"/>
      <c r="AJ70" s="94"/>
      <c r="AK70" s="94"/>
      <c r="AL70" s="94"/>
      <c r="AM70" s="94"/>
      <c r="AN70" s="94"/>
      <c r="AO70" s="94"/>
      <c r="AP70" s="94"/>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64" s="123" customFormat="1" ht="18.75" customHeight="1" x14ac:dyDescent="0.25">
      <c r="A71" s="21"/>
      <c r="B71" s="210"/>
      <c r="C71" s="210"/>
      <c r="D71" s="210"/>
      <c r="E71" s="210"/>
      <c r="F71" s="210"/>
      <c r="G71" s="210"/>
      <c r="H71" s="210"/>
      <c r="I71" s="210"/>
      <c r="J71" s="210"/>
      <c r="K71" s="210"/>
      <c r="L71" s="210"/>
      <c r="M71" s="210"/>
      <c r="N71" s="210"/>
      <c r="O71" s="210"/>
      <c r="P71" s="214"/>
      <c r="Q71" s="210"/>
      <c r="R71" s="210"/>
      <c r="S71" s="210"/>
      <c r="T71" s="210"/>
      <c r="U71" s="210"/>
      <c r="V71" s="210"/>
      <c r="W71" s="210"/>
      <c r="X71" s="210"/>
      <c r="Y71" s="210"/>
      <c r="Z71" s="210"/>
      <c r="AA71" s="210"/>
      <c r="AC71" s="94"/>
      <c r="AD71" s="94"/>
      <c r="AE71" s="94"/>
      <c r="AF71" s="94"/>
      <c r="AG71" s="94"/>
      <c r="AH71" s="94"/>
      <c r="AI71" s="94"/>
      <c r="AJ71" s="94"/>
      <c r="AK71" s="94"/>
      <c r="AL71" s="94"/>
      <c r="AM71" s="94"/>
      <c r="AN71" s="94"/>
      <c r="AO71" s="94"/>
      <c r="AP71" s="94"/>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row>
    <row r="72" spans="1:64" s="123" customFormat="1" ht="18.75" customHeight="1" x14ac:dyDescent="0.25">
      <c r="A72" s="21"/>
      <c r="B72" s="210"/>
      <c r="C72" s="210"/>
      <c r="D72" s="210"/>
      <c r="E72" s="210"/>
      <c r="F72" s="210"/>
      <c r="G72" s="210"/>
      <c r="H72" s="210"/>
      <c r="I72" s="210"/>
      <c r="J72" s="210"/>
      <c r="K72" s="210"/>
      <c r="L72" s="210"/>
      <c r="M72" s="210"/>
      <c r="N72" s="210"/>
      <c r="O72" s="210"/>
      <c r="P72" s="214"/>
      <c r="Q72" s="210"/>
      <c r="R72" s="210"/>
      <c r="S72" s="210"/>
      <c r="T72" s="210"/>
      <c r="U72" s="210"/>
      <c r="V72" s="210"/>
      <c r="W72" s="210"/>
      <c r="X72" s="210"/>
      <c r="Y72" s="210"/>
      <c r="Z72" s="210"/>
      <c r="AA72" s="210"/>
      <c r="AC72" s="94"/>
      <c r="AD72" s="94"/>
      <c r="AE72" s="94"/>
      <c r="AF72" s="94"/>
      <c r="AG72" s="94"/>
      <c r="AH72" s="94"/>
      <c r="AI72" s="94"/>
      <c r="AJ72" s="94"/>
      <c r="AK72" s="94"/>
      <c r="AL72" s="94"/>
      <c r="AM72" s="94"/>
      <c r="AN72" s="94"/>
      <c r="AO72" s="94"/>
      <c r="AP72" s="94"/>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64" s="123" customFormat="1" ht="18.75" customHeight="1" x14ac:dyDescent="0.25">
      <c r="A73" s="21"/>
      <c r="B73" s="210"/>
      <c r="C73" s="210"/>
      <c r="D73" s="210"/>
      <c r="E73" s="210"/>
      <c r="F73" s="210"/>
      <c r="G73" s="210"/>
      <c r="H73" s="210"/>
      <c r="I73" s="210"/>
      <c r="J73" s="210"/>
      <c r="K73" s="210"/>
      <c r="L73" s="210"/>
      <c r="M73" s="210"/>
      <c r="N73" s="210"/>
      <c r="O73" s="210"/>
      <c r="P73" s="214"/>
      <c r="Q73" s="210"/>
      <c r="R73" s="210"/>
      <c r="S73" s="210"/>
      <c r="T73" s="210"/>
      <c r="U73" s="210"/>
      <c r="V73" s="210"/>
      <c r="W73" s="210"/>
      <c r="X73" s="210"/>
      <c r="Y73" s="210"/>
      <c r="Z73" s="210"/>
      <c r="AA73" s="210"/>
      <c r="AC73" s="94"/>
      <c r="AD73" s="94"/>
      <c r="AE73" s="94"/>
      <c r="AF73" s="94"/>
      <c r="AG73" s="94"/>
      <c r="AH73" s="94"/>
      <c r="AI73" s="94"/>
      <c r="AJ73" s="94"/>
      <c r="AK73" s="94"/>
      <c r="AL73" s="94"/>
      <c r="AM73" s="94"/>
      <c r="AN73" s="94"/>
      <c r="AO73" s="94"/>
      <c r="AP73" s="94"/>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row>
    <row r="74" spans="1:64" s="123" customFormat="1" ht="18.75" customHeight="1" x14ac:dyDescent="0.25">
      <c r="A74" s="21"/>
      <c r="B74" s="210"/>
      <c r="C74" s="210"/>
      <c r="D74" s="210"/>
      <c r="E74" s="210"/>
      <c r="F74" s="210"/>
      <c r="G74" s="210"/>
      <c r="H74" s="210"/>
      <c r="I74" s="210"/>
      <c r="J74" s="210"/>
      <c r="K74" s="210"/>
      <c r="L74" s="210"/>
      <c r="M74" s="210"/>
      <c r="N74" s="210"/>
      <c r="O74" s="210"/>
      <c r="P74" s="214"/>
      <c r="Q74" s="210"/>
      <c r="R74" s="210"/>
      <c r="S74" s="210"/>
      <c r="T74" s="210"/>
      <c r="U74" s="210"/>
      <c r="V74" s="210"/>
      <c r="W74" s="210"/>
      <c r="X74" s="210"/>
      <c r="Y74" s="210"/>
      <c r="Z74" s="210"/>
      <c r="AA74" s="210"/>
      <c r="AC74" s="94"/>
      <c r="AD74" s="94"/>
      <c r="AE74" s="94"/>
      <c r="AF74" s="94"/>
      <c r="AG74" s="94"/>
      <c r="AH74" s="94"/>
      <c r="AI74" s="94"/>
      <c r="AJ74" s="94"/>
      <c r="AK74" s="94"/>
      <c r="AL74" s="94"/>
      <c r="AM74" s="94"/>
      <c r="AN74" s="94"/>
      <c r="AO74" s="94"/>
      <c r="AP74" s="94"/>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row>
    <row r="75" spans="1:64" s="123" customFormat="1" ht="18.75" customHeight="1" x14ac:dyDescent="0.25">
      <c r="A75" s="21"/>
      <c r="B75" s="210"/>
      <c r="C75" s="210"/>
      <c r="D75" s="210"/>
      <c r="E75" s="210"/>
      <c r="F75" s="210"/>
      <c r="G75" s="210"/>
      <c r="H75" s="210"/>
      <c r="I75" s="210"/>
      <c r="J75" s="210"/>
      <c r="K75" s="210"/>
      <c r="L75" s="210"/>
      <c r="M75" s="210"/>
      <c r="N75" s="210"/>
      <c r="O75" s="210"/>
      <c r="P75" s="214"/>
      <c r="Q75" s="210"/>
      <c r="R75" s="210"/>
      <c r="S75" s="210"/>
      <c r="T75" s="210"/>
      <c r="U75" s="210"/>
      <c r="V75" s="210"/>
      <c r="W75" s="210"/>
      <c r="X75" s="210"/>
      <c r="Y75" s="210"/>
      <c r="Z75" s="210"/>
      <c r="AA75" s="210"/>
      <c r="AC75" s="94"/>
      <c r="AD75" s="94"/>
      <c r="AE75" s="94"/>
      <c r="AF75" s="94"/>
      <c r="AG75" s="94"/>
      <c r="AH75" s="94"/>
      <c r="AI75" s="94"/>
      <c r="AJ75" s="94"/>
      <c r="AK75" s="94"/>
      <c r="AL75" s="94"/>
      <c r="AM75" s="94"/>
      <c r="AN75" s="94"/>
      <c r="AO75" s="94"/>
      <c r="AP75" s="94"/>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row>
    <row r="76" spans="1:64" s="123" customFormat="1" ht="18.75" customHeight="1" x14ac:dyDescent="0.25">
      <c r="A76" s="21"/>
      <c r="B76" s="210"/>
      <c r="C76" s="210"/>
      <c r="D76" s="210"/>
      <c r="E76" s="210"/>
      <c r="F76" s="210"/>
      <c r="G76" s="210"/>
      <c r="H76" s="210"/>
      <c r="I76" s="210"/>
      <c r="J76" s="210"/>
      <c r="K76" s="210"/>
      <c r="L76" s="210"/>
      <c r="M76" s="210"/>
      <c r="N76" s="210"/>
      <c r="O76" s="210"/>
      <c r="P76" s="214"/>
      <c r="Q76" s="210"/>
      <c r="R76" s="210"/>
      <c r="S76" s="210"/>
      <c r="T76" s="210"/>
      <c r="U76" s="210"/>
      <c r="V76" s="210"/>
      <c r="W76" s="210"/>
      <c r="X76" s="210"/>
      <c r="Y76" s="210"/>
      <c r="Z76" s="210"/>
      <c r="AA76" s="210"/>
      <c r="AC76" s="94"/>
      <c r="AD76" s="94"/>
      <c r="AE76" s="94"/>
      <c r="AF76" s="94"/>
      <c r="AG76" s="94"/>
      <c r="AH76" s="94"/>
      <c r="AI76" s="94"/>
      <c r="AJ76" s="94"/>
      <c r="AK76" s="94"/>
      <c r="AL76" s="94"/>
      <c r="AM76" s="94"/>
      <c r="AN76" s="94"/>
      <c r="AO76" s="94"/>
      <c r="AP76" s="94"/>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64" s="123" customFormat="1" ht="18.75" customHeight="1" x14ac:dyDescent="0.25">
      <c r="A77" s="21"/>
      <c r="B77" s="210"/>
      <c r="C77" s="210"/>
      <c r="D77" s="210"/>
      <c r="E77" s="210"/>
      <c r="F77" s="210"/>
      <c r="G77" s="210"/>
      <c r="H77" s="210"/>
      <c r="I77" s="210"/>
      <c r="J77" s="210"/>
      <c r="K77" s="210"/>
      <c r="L77" s="210"/>
      <c r="M77" s="210"/>
      <c r="N77" s="210"/>
      <c r="O77" s="210"/>
      <c r="P77" s="214"/>
      <c r="Q77" s="210"/>
      <c r="R77" s="210"/>
      <c r="S77" s="210"/>
      <c r="T77" s="210"/>
      <c r="U77" s="210"/>
      <c r="V77" s="210"/>
      <c r="W77" s="210"/>
      <c r="X77" s="210"/>
      <c r="Y77" s="210"/>
      <c r="Z77" s="210"/>
      <c r="AA77" s="210"/>
      <c r="AC77" s="94"/>
      <c r="AD77" s="94"/>
      <c r="AE77" s="94"/>
      <c r="AF77" s="94"/>
      <c r="AG77" s="94"/>
      <c r="AH77" s="94"/>
      <c r="AI77" s="94"/>
      <c r="AJ77" s="94"/>
      <c r="AK77" s="94"/>
      <c r="AL77" s="94"/>
      <c r="AM77" s="94"/>
      <c r="AN77" s="94"/>
      <c r="AO77" s="94"/>
      <c r="AP77" s="94"/>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row>
    <row r="78" spans="1:64" s="123" customFormat="1" ht="18.75" customHeight="1" x14ac:dyDescent="0.25">
      <c r="A78" s="21"/>
      <c r="B78" s="210"/>
      <c r="C78" s="210"/>
      <c r="D78" s="210"/>
      <c r="E78" s="210"/>
      <c r="F78" s="210"/>
      <c r="G78" s="210"/>
      <c r="H78" s="210"/>
      <c r="I78" s="210"/>
      <c r="J78" s="210"/>
      <c r="K78" s="210"/>
      <c r="L78" s="210"/>
      <c r="M78" s="210"/>
      <c r="N78" s="210"/>
      <c r="O78" s="210"/>
      <c r="P78" s="214"/>
      <c r="Q78" s="210"/>
      <c r="R78" s="210"/>
      <c r="S78" s="210"/>
      <c r="T78" s="210"/>
      <c r="U78" s="210"/>
      <c r="V78" s="210"/>
      <c r="W78" s="210"/>
      <c r="X78" s="210"/>
      <c r="Y78" s="210"/>
      <c r="Z78" s="210"/>
      <c r="AA78" s="210"/>
      <c r="AC78" s="94"/>
      <c r="AD78" s="94"/>
      <c r="AE78" s="94"/>
      <c r="AF78" s="94"/>
      <c r="AG78" s="94"/>
      <c r="AH78" s="94"/>
      <c r="AI78" s="94"/>
      <c r="AJ78" s="94"/>
      <c r="AK78" s="94"/>
      <c r="AL78" s="94"/>
      <c r="AM78" s="94"/>
      <c r="AN78" s="94"/>
      <c r="AO78" s="94"/>
      <c r="AP78" s="94"/>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row>
    <row r="79" spans="1:64" s="123" customFormat="1" ht="18.75" customHeight="1" x14ac:dyDescent="0.25">
      <c r="A79" s="21"/>
      <c r="B79" s="210"/>
      <c r="C79" s="210"/>
      <c r="D79" s="210"/>
      <c r="E79" s="210"/>
      <c r="F79" s="210"/>
      <c r="G79" s="210"/>
      <c r="H79" s="210"/>
      <c r="I79" s="210"/>
      <c r="J79" s="210"/>
      <c r="K79" s="210"/>
      <c r="L79" s="210"/>
      <c r="M79" s="210"/>
      <c r="N79" s="210"/>
      <c r="O79" s="210"/>
      <c r="P79" s="214"/>
      <c r="Q79" s="210"/>
      <c r="R79" s="210"/>
      <c r="S79" s="210"/>
      <c r="T79" s="210"/>
      <c r="U79" s="210"/>
      <c r="V79" s="210"/>
      <c r="W79" s="210"/>
      <c r="X79" s="210"/>
      <c r="Y79" s="210"/>
      <c r="Z79" s="210"/>
      <c r="AA79" s="210"/>
      <c r="AC79" s="94"/>
      <c r="AD79" s="94"/>
      <c r="AE79" s="94"/>
      <c r="AF79" s="94"/>
      <c r="AG79" s="94"/>
      <c r="AH79" s="94"/>
      <c r="AI79" s="94"/>
      <c r="AJ79" s="94"/>
      <c r="AK79" s="94"/>
      <c r="AL79" s="94"/>
      <c r="AM79" s="94"/>
      <c r="AN79" s="94"/>
      <c r="AO79" s="94"/>
      <c r="AP79" s="94"/>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64" s="123" customFormat="1" ht="18.75" customHeight="1" x14ac:dyDescent="0.25">
      <c r="A80" s="21"/>
      <c r="B80" s="210"/>
      <c r="C80" s="210"/>
      <c r="D80" s="210"/>
      <c r="E80" s="210"/>
      <c r="F80" s="210"/>
      <c r="G80" s="210"/>
      <c r="H80" s="210"/>
      <c r="I80" s="210"/>
      <c r="J80" s="210"/>
      <c r="K80" s="210"/>
      <c r="L80" s="210"/>
      <c r="M80" s="210"/>
      <c r="N80" s="210"/>
      <c r="O80" s="210"/>
      <c r="P80" s="214"/>
      <c r="Q80" s="210"/>
      <c r="R80" s="210"/>
      <c r="S80" s="210"/>
      <c r="T80" s="210"/>
      <c r="U80" s="210"/>
      <c r="V80" s="210"/>
      <c r="W80" s="210"/>
      <c r="X80" s="210"/>
      <c r="Y80" s="210"/>
      <c r="Z80" s="210"/>
      <c r="AA80" s="210"/>
      <c r="AC80" s="94"/>
      <c r="AD80" s="94"/>
      <c r="AE80" s="94"/>
      <c r="AF80" s="94"/>
      <c r="AG80" s="94"/>
      <c r="AH80" s="94"/>
      <c r="AI80" s="94"/>
      <c r="AJ80" s="94"/>
      <c r="AK80" s="94"/>
      <c r="AL80" s="94"/>
      <c r="AM80" s="94"/>
      <c r="AN80" s="94"/>
      <c r="AO80" s="94"/>
      <c r="AP80" s="94"/>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64" s="123" customFormat="1" ht="18.75" customHeight="1" x14ac:dyDescent="0.25">
      <c r="A81" s="21"/>
      <c r="B81" s="210"/>
      <c r="C81" s="210"/>
      <c r="D81" s="210"/>
      <c r="E81" s="210"/>
      <c r="F81" s="210"/>
      <c r="G81" s="210"/>
      <c r="H81" s="210"/>
      <c r="I81" s="210"/>
      <c r="J81" s="210"/>
      <c r="K81" s="210"/>
      <c r="L81" s="210"/>
      <c r="M81" s="210"/>
      <c r="N81" s="210"/>
      <c r="O81" s="210"/>
      <c r="P81" s="214"/>
      <c r="Q81" s="210"/>
      <c r="R81" s="210"/>
      <c r="S81" s="210"/>
      <c r="T81" s="210"/>
      <c r="U81" s="210"/>
      <c r="V81" s="210"/>
      <c r="W81" s="210"/>
      <c r="X81" s="210"/>
      <c r="Y81" s="210"/>
      <c r="Z81" s="210"/>
      <c r="AA81" s="210"/>
      <c r="AC81" s="94"/>
      <c r="AD81" s="94"/>
      <c r="AE81" s="94"/>
      <c r="AF81" s="94"/>
      <c r="AG81" s="94"/>
      <c r="AH81" s="94"/>
      <c r="AI81" s="94"/>
      <c r="AJ81" s="94"/>
      <c r="AK81" s="94"/>
      <c r="AL81" s="94"/>
      <c r="AM81" s="94"/>
      <c r="AN81" s="94"/>
      <c r="AO81" s="94"/>
      <c r="AP81" s="94"/>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64" s="123" customFormat="1" ht="18.75" customHeight="1" x14ac:dyDescent="0.25">
      <c r="A82" s="21"/>
      <c r="B82" s="210"/>
      <c r="C82" s="210"/>
      <c r="D82" s="210"/>
      <c r="E82" s="210"/>
      <c r="F82" s="210"/>
      <c r="G82" s="210"/>
      <c r="H82" s="210"/>
      <c r="I82" s="210"/>
      <c r="J82" s="210"/>
      <c r="K82" s="210"/>
      <c r="L82" s="210"/>
      <c r="M82" s="210"/>
      <c r="N82" s="210"/>
      <c r="O82" s="210"/>
      <c r="P82" s="214"/>
      <c r="Q82" s="210"/>
      <c r="R82" s="210"/>
      <c r="S82" s="210"/>
      <c r="T82" s="210"/>
      <c r="U82" s="210"/>
      <c r="V82" s="210"/>
      <c r="W82" s="210"/>
      <c r="X82" s="210"/>
      <c r="Y82" s="210"/>
      <c r="Z82" s="210"/>
      <c r="AA82" s="210"/>
      <c r="AC82" s="94"/>
      <c r="AD82" s="94"/>
      <c r="AE82" s="94"/>
      <c r="AF82" s="94"/>
      <c r="AG82" s="94"/>
      <c r="AH82" s="94"/>
      <c r="AI82" s="94"/>
      <c r="AJ82" s="94"/>
      <c r="AK82" s="94"/>
      <c r="AL82" s="94"/>
      <c r="AM82" s="94"/>
      <c r="AN82" s="94"/>
      <c r="AO82" s="94"/>
      <c r="AP82" s="94"/>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64" s="123" customFormat="1" ht="18.75" customHeight="1" x14ac:dyDescent="0.25">
      <c r="A83" s="21"/>
      <c r="B83" s="210"/>
      <c r="C83" s="210"/>
      <c r="D83" s="210"/>
      <c r="E83" s="210"/>
      <c r="F83" s="210"/>
      <c r="G83" s="210"/>
      <c r="H83" s="210"/>
      <c r="I83" s="210"/>
      <c r="J83" s="210"/>
      <c r="K83" s="210"/>
      <c r="L83" s="210"/>
      <c r="M83" s="210"/>
      <c r="N83" s="210"/>
      <c r="O83" s="210"/>
      <c r="P83" s="214"/>
      <c r="Q83" s="210"/>
      <c r="R83" s="210"/>
      <c r="S83" s="210"/>
      <c r="T83" s="210"/>
      <c r="U83" s="210"/>
      <c r="V83" s="210"/>
      <c r="W83" s="210"/>
      <c r="X83" s="210"/>
      <c r="Y83" s="210"/>
      <c r="Z83" s="210"/>
      <c r="AA83" s="210"/>
      <c r="AC83" s="94"/>
      <c r="AD83" s="94"/>
      <c r="AE83" s="94"/>
      <c r="AF83" s="94"/>
      <c r="AG83" s="94"/>
      <c r="AH83" s="94"/>
      <c r="AI83" s="94"/>
      <c r="AJ83" s="94"/>
      <c r="AK83" s="94"/>
      <c r="AL83" s="94"/>
      <c r="AM83" s="94"/>
      <c r="AN83" s="94"/>
      <c r="AO83" s="94"/>
      <c r="AP83" s="94"/>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row>
    <row r="84" spans="1:64" s="123" customFormat="1" ht="18.75" customHeight="1" x14ac:dyDescent="0.25">
      <c r="A84" s="21"/>
      <c r="B84" s="210"/>
      <c r="C84" s="210"/>
      <c r="D84" s="210"/>
      <c r="E84" s="210"/>
      <c r="F84" s="210"/>
      <c r="G84" s="210"/>
      <c r="H84" s="210"/>
      <c r="I84" s="210"/>
      <c r="J84" s="210"/>
      <c r="K84" s="210"/>
      <c r="L84" s="210"/>
      <c r="M84" s="210"/>
      <c r="N84" s="210"/>
      <c r="O84" s="210"/>
      <c r="P84" s="214"/>
      <c r="Q84" s="210"/>
      <c r="R84" s="210"/>
      <c r="S84" s="210"/>
      <c r="T84" s="210"/>
      <c r="U84" s="210"/>
      <c r="V84" s="210"/>
      <c r="W84" s="210"/>
      <c r="X84" s="210"/>
      <c r="Y84" s="210"/>
      <c r="Z84" s="210"/>
      <c r="AA84" s="210"/>
      <c r="AC84" s="94"/>
      <c r="AD84" s="94"/>
      <c r="AE84" s="94"/>
      <c r="AF84" s="94"/>
      <c r="AG84" s="94"/>
      <c r="AH84" s="94"/>
      <c r="AI84" s="94"/>
      <c r="AJ84" s="94"/>
      <c r="AK84" s="94"/>
      <c r="AL84" s="94"/>
      <c r="AM84" s="94"/>
      <c r="AN84" s="94"/>
      <c r="AO84" s="94"/>
      <c r="AP84" s="94"/>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64" s="123" customFormat="1" ht="18.75" customHeight="1" x14ac:dyDescent="0.25">
      <c r="A85" s="21"/>
      <c r="B85" s="210"/>
      <c r="C85" s="210"/>
      <c r="D85" s="210"/>
      <c r="E85" s="210"/>
      <c r="F85" s="210"/>
      <c r="G85" s="210"/>
      <c r="H85" s="210"/>
      <c r="I85" s="210"/>
      <c r="J85" s="210"/>
      <c r="K85" s="210"/>
      <c r="L85" s="210"/>
      <c r="M85" s="210"/>
      <c r="N85" s="210"/>
      <c r="O85" s="210"/>
      <c r="P85" s="214"/>
      <c r="Q85" s="210"/>
      <c r="R85" s="210"/>
      <c r="S85" s="210"/>
      <c r="T85" s="210"/>
      <c r="U85" s="210"/>
      <c r="V85" s="210"/>
      <c r="W85" s="210"/>
      <c r="X85" s="210"/>
      <c r="Y85" s="210"/>
      <c r="Z85" s="210"/>
      <c r="AA85" s="210"/>
      <c r="AC85" s="94"/>
      <c r="AD85" s="94"/>
      <c r="AE85" s="94"/>
      <c r="AF85" s="94"/>
      <c r="AG85" s="94"/>
      <c r="AH85" s="94"/>
      <c r="AI85" s="94"/>
      <c r="AJ85" s="94"/>
      <c r="AK85" s="94"/>
      <c r="AL85" s="94"/>
      <c r="AM85" s="94"/>
      <c r="AN85" s="94"/>
      <c r="AO85" s="94"/>
      <c r="AP85" s="94"/>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row>
    <row r="86" spans="1:64" s="123" customFormat="1" ht="18.75" customHeight="1" x14ac:dyDescent="0.25">
      <c r="A86" s="21"/>
      <c r="B86" s="210"/>
      <c r="C86" s="210"/>
      <c r="D86" s="210"/>
      <c r="E86" s="210"/>
      <c r="F86" s="210"/>
      <c r="G86" s="210"/>
      <c r="H86" s="210"/>
      <c r="I86" s="210"/>
      <c r="J86" s="210"/>
      <c r="K86" s="210"/>
      <c r="L86" s="210"/>
      <c r="M86" s="210"/>
      <c r="N86" s="210"/>
      <c r="O86" s="210"/>
      <c r="P86" s="214"/>
      <c r="Q86" s="210"/>
      <c r="R86" s="210"/>
      <c r="S86" s="210"/>
      <c r="T86" s="210"/>
      <c r="U86" s="210"/>
      <c r="V86" s="210"/>
      <c r="W86" s="210"/>
      <c r="X86" s="210"/>
      <c r="Y86" s="210"/>
      <c r="Z86" s="210"/>
      <c r="AA86" s="210"/>
      <c r="AC86" s="94"/>
      <c r="AD86" s="94"/>
      <c r="AE86" s="94"/>
      <c r="AF86" s="94"/>
      <c r="AG86" s="94"/>
      <c r="AH86" s="94"/>
      <c r="AI86" s="94"/>
      <c r="AJ86" s="94"/>
      <c r="AK86" s="94"/>
      <c r="AL86" s="94"/>
      <c r="AM86" s="94"/>
      <c r="AN86" s="94"/>
      <c r="AO86" s="94"/>
      <c r="AP86" s="94"/>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row>
    <row r="87" spans="1:64" s="123" customFormat="1" ht="18.75" customHeight="1" x14ac:dyDescent="0.25">
      <c r="A87" s="21"/>
      <c r="B87" s="210"/>
      <c r="C87" s="210"/>
      <c r="D87" s="210"/>
      <c r="E87" s="210"/>
      <c r="F87" s="210"/>
      <c r="G87" s="210"/>
      <c r="H87" s="210"/>
      <c r="I87" s="210"/>
      <c r="J87" s="210"/>
      <c r="K87" s="210"/>
      <c r="L87" s="210"/>
      <c r="M87" s="210"/>
      <c r="N87" s="210"/>
      <c r="O87" s="210"/>
      <c r="P87" s="214"/>
      <c r="Q87" s="210"/>
      <c r="R87" s="210"/>
      <c r="S87" s="210"/>
      <c r="T87" s="210"/>
      <c r="U87" s="210"/>
      <c r="V87" s="210"/>
      <c r="W87" s="210"/>
      <c r="X87" s="210"/>
      <c r="Y87" s="210"/>
      <c r="Z87" s="210"/>
      <c r="AA87" s="210"/>
      <c r="AC87" s="94"/>
      <c r="AD87" s="94"/>
      <c r="AE87" s="94"/>
      <c r="AF87" s="94"/>
      <c r="AG87" s="94"/>
      <c r="AH87" s="94"/>
      <c r="AI87" s="94"/>
      <c r="AJ87" s="94"/>
      <c r="AK87" s="94"/>
      <c r="AL87" s="94"/>
      <c r="AM87" s="94"/>
      <c r="AN87" s="94"/>
      <c r="AO87" s="94"/>
      <c r="AP87" s="94"/>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row>
    <row r="88" spans="1:64" s="123" customFormat="1" ht="18.75" customHeight="1" x14ac:dyDescent="0.25">
      <c r="A88" s="21"/>
      <c r="B88" s="210"/>
      <c r="C88" s="210"/>
      <c r="D88" s="210"/>
      <c r="E88" s="210"/>
      <c r="F88" s="210"/>
      <c r="G88" s="210"/>
      <c r="H88" s="210"/>
      <c r="I88" s="210"/>
      <c r="J88" s="210"/>
      <c r="K88" s="210"/>
      <c r="L88" s="210"/>
      <c r="M88" s="210"/>
      <c r="N88" s="210"/>
      <c r="O88" s="210"/>
      <c r="P88" s="214"/>
      <c r="Q88" s="210"/>
      <c r="R88" s="210"/>
      <c r="S88" s="210"/>
      <c r="T88" s="210"/>
      <c r="U88" s="210"/>
      <c r="V88" s="210"/>
      <c r="W88" s="210"/>
      <c r="X88" s="210"/>
      <c r="Y88" s="210"/>
      <c r="Z88" s="210"/>
      <c r="AA88" s="210"/>
      <c r="AC88" s="94"/>
      <c r="AD88" s="94"/>
      <c r="AE88" s="94"/>
      <c r="AF88" s="94"/>
      <c r="AG88" s="94"/>
      <c r="AH88" s="94"/>
      <c r="AI88" s="94"/>
      <c r="AJ88" s="94"/>
      <c r="AK88" s="94"/>
      <c r="AL88" s="94"/>
      <c r="AM88" s="94"/>
      <c r="AN88" s="94"/>
      <c r="AO88" s="94"/>
      <c r="AP88" s="94"/>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row>
    <row r="89" spans="1:64" s="123" customFormat="1" ht="18.75" customHeight="1" x14ac:dyDescent="0.25">
      <c r="A89" s="21"/>
      <c r="B89" s="210"/>
      <c r="C89" s="210"/>
      <c r="D89" s="210"/>
      <c r="E89" s="210"/>
      <c r="F89" s="210"/>
      <c r="G89" s="210"/>
      <c r="H89" s="210"/>
      <c r="I89" s="210"/>
      <c r="J89" s="210"/>
      <c r="K89" s="210"/>
      <c r="L89" s="210"/>
      <c r="M89" s="210"/>
      <c r="N89" s="210"/>
      <c r="O89" s="210"/>
      <c r="P89" s="214"/>
      <c r="Q89" s="210"/>
      <c r="R89" s="210"/>
      <c r="S89" s="210"/>
      <c r="T89" s="210"/>
      <c r="U89" s="210"/>
      <c r="V89" s="210"/>
      <c r="W89" s="210"/>
      <c r="X89" s="210"/>
      <c r="Y89" s="210"/>
      <c r="Z89" s="210"/>
      <c r="AA89" s="210"/>
      <c r="AC89" s="94"/>
      <c r="AD89" s="94"/>
      <c r="AE89" s="94"/>
      <c r="AF89" s="94"/>
      <c r="AG89" s="94"/>
      <c r="AH89" s="94"/>
      <c r="AI89" s="94"/>
      <c r="AJ89" s="94"/>
      <c r="AK89" s="94"/>
      <c r="AL89" s="94"/>
      <c r="AM89" s="94"/>
      <c r="AN89" s="94"/>
      <c r="AO89" s="94"/>
      <c r="AP89" s="94"/>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64" s="123" customFormat="1" ht="18.75" customHeight="1" x14ac:dyDescent="0.25">
      <c r="A90" s="21"/>
      <c r="B90" s="210"/>
      <c r="C90" s="210"/>
      <c r="D90" s="210"/>
      <c r="E90" s="210"/>
      <c r="F90" s="210"/>
      <c r="G90" s="210"/>
      <c r="H90" s="210"/>
      <c r="I90" s="210"/>
      <c r="J90" s="210"/>
      <c r="K90" s="210"/>
      <c r="L90" s="210"/>
      <c r="M90" s="210"/>
      <c r="N90" s="210"/>
      <c r="O90" s="210"/>
      <c r="P90" s="214"/>
      <c r="Q90" s="210"/>
      <c r="R90" s="210"/>
      <c r="S90" s="210"/>
      <c r="T90" s="210"/>
      <c r="U90" s="210"/>
      <c r="V90" s="210"/>
      <c r="W90" s="210"/>
      <c r="X90" s="210"/>
      <c r="Y90" s="210"/>
      <c r="Z90" s="210"/>
      <c r="AA90" s="210"/>
      <c r="AC90" s="94"/>
      <c r="AD90" s="94"/>
      <c r="AE90" s="94"/>
      <c r="AF90" s="94"/>
      <c r="AG90" s="94"/>
      <c r="AH90" s="94"/>
      <c r="AI90" s="94"/>
      <c r="AJ90" s="94"/>
      <c r="AK90" s="94"/>
      <c r="AL90" s="94"/>
      <c r="AM90" s="94"/>
      <c r="AN90" s="94"/>
      <c r="AO90" s="94"/>
      <c r="AP90" s="94"/>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row>
    <row r="91" spans="1:64" s="123" customFormat="1" ht="18.75" customHeight="1" x14ac:dyDescent="0.25">
      <c r="A91" s="21"/>
      <c r="B91" s="210"/>
      <c r="C91" s="210"/>
      <c r="D91" s="210"/>
      <c r="E91" s="210"/>
      <c r="F91" s="210"/>
      <c r="G91" s="210"/>
      <c r="H91" s="210"/>
      <c r="I91" s="210"/>
      <c r="J91" s="210"/>
      <c r="K91" s="210"/>
      <c r="L91" s="210"/>
      <c r="M91" s="210"/>
      <c r="N91" s="210"/>
      <c r="O91" s="210"/>
      <c r="P91" s="214"/>
      <c r="Q91" s="210"/>
      <c r="R91" s="210"/>
      <c r="S91" s="210"/>
      <c r="T91" s="210"/>
      <c r="U91" s="210"/>
      <c r="V91" s="210"/>
      <c r="W91" s="210"/>
      <c r="X91" s="210"/>
      <c r="Y91" s="210"/>
      <c r="Z91" s="210"/>
      <c r="AA91" s="210"/>
      <c r="AC91" s="94"/>
      <c r="AD91" s="94"/>
      <c r="AE91" s="94"/>
      <c r="AF91" s="94"/>
      <c r="AG91" s="94"/>
      <c r="AH91" s="94"/>
      <c r="AI91" s="94"/>
      <c r="AJ91" s="94"/>
      <c r="AK91" s="94"/>
      <c r="AL91" s="94"/>
      <c r="AM91" s="94"/>
      <c r="AN91" s="94"/>
      <c r="AO91" s="94"/>
      <c r="AP91" s="94"/>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row>
    <row r="92" spans="1:64" s="123" customFormat="1" ht="18.75" customHeight="1" x14ac:dyDescent="0.25">
      <c r="A92" s="21"/>
      <c r="B92" s="210"/>
      <c r="C92" s="210"/>
      <c r="D92" s="210"/>
      <c r="E92" s="210"/>
      <c r="F92" s="210"/>
      <c r="G92" s="210"/>
      <c r="H92" s="210"/>
      <c r="I92" s="210"/>
      <c r="J92" s="210"/>
      <c r="K92" s="210"/>
      <c r="L92" s="210"/>
      <c r="M92" s="210"/>
      <c r="N92" s="210"/>
      <c r="O92" s="210"/>
      <c r="P92" s="214"/>
      <c r="Q92" s="210"/>
      <c r="R92" s="210"/>
      <c r="S92" s="210"/>
      <c r="T92" s="210"/>
      <c r="U92" s="210"/>
      <c r="V92" s="210"/>
      <c r="W92" s="210"/>
      <c r="X92" s="210"/>
      <c r="Y92" s="210"/>
      <c r="Z92" s="210"/>
      <c r="AA92" s="210"/>
      <c r="AC92" s="94"/>
      <c r="AD92" s="94"/>
      <c r="AE92" s="94"/>
      <c r="AF92" s="94"/>
      <c r="AG92" s="94"/>
      <c r="AH92" s="94"/>
      <c r="AI92" s="94"/>
      <c r="AJ92" s="94"/>
      <c r="AK92" s="94"/>
      <c r="AL92" s="94"/>
      <c r="AM92" s="94"/>
      <c r="AN92" s="94"/>
      <c r="AO92" s="94"/>
      <c r="AP92" s="94"/>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row>
    <row r="93" spans="1:64" s="123" customFormat="1" ht="18.75" customHeight="1" x14ac:dyDescent="0.25">
      <c r="A93" s="21"/>
      <c r="B93" s="210"/>
      <c r="C93" s="210"/>
      <c r="D93" s="210"/>
      <c r="E93" s="210"/>
      <c r="F93" s="210"/>
      <c r="G93" s="210"/>
      <c r="H93" s="210"/>
      <c r="I93" s="210"/>
      <c r="J93" s="210"/>
      <c r="K93" s="210"/>
      <c r="L93" s="210"/>
      <c r="M93" s="210"/>
      <c r="N93" s="210"/>
      <c r="O93" s="210"/>
      <c r="P93" s="214"/>
      <c r="Q93" s="210"/>
      <c r="R93" s="210"/>
      <c r="S93" s="210"/>
      <c r="T93" s="210"/>
      <c r="U93" s="210"/>
      <c r="V93" s="210"/>
      <c r="W93" s="210"/>
      <c r="X93" s="210"/>
      <c r="Y93" s="210"/>
      <c r="Z93" s="210"/>
      <c r="AA93" s="210"/>
      <c r="AC93" s="94"/>
      <c r="AD93" s="94"/>
      <c r="AE93" s="94"/>
      <c r="AF93" s="94"/>
      <c r="AG93" s="94"/>
      <c r="AH93" s="94"/>
      <c r="AI93" s="94"/>
      <c r="AJ93" s="94"/>
      <c r="AK93" s="94"/>
      <c r="AL93" s="94"/>
      <c r="AM93" s="94"/>
      <c r="AN93" s="94"/>
      <c r="AO93" s="94"/>
      <c r="AP93" s="94"/>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64" s="123" customFormat="1" ht="18.75" customHeight="1" x14ac:dyDescent="0.25">
      <c r="A94" s="21"/>
      <c r="B94" s="210"/>
      <c r="C94" s="210"/>
      <c r="D94" s="210"/>
      <c r="E94" s="210"/>
      <c r="F94" s="210"/>
      <c r="G94" s="210"/>
      <c r="H94" s="210"/>
      <c r="I94" s="210"/>
      <c r="J94" s="210"/>
      <c r="K94" s="210"/>
      <c r="L94" s="210"/>
      <c r="M94" s="210"/>
      <c r="N94" s="210"/>
      <c r="O94" s="210"/>
      <c r="P94" s="214"/>
      <c r="Q94" s="210"/>
      <c r="R94" s="210"/>
      <c r="S94" s="210"/>
      <c r="T94" s="210"/>
      <c r="U94" s="210"/>
      <c r="V94" s="210"/>
      <c r="W94" s="210"/>
      <c r="X94" s="210"/>
      <c r="Y94" s="210"/>
      <c r="Z94" s="210"/>
      <c r="AA94" s="210"/>
      <c r="AC94" s="94"/>
      <c r="AD94" s="94"/>
      <c r="AE94" s="94"/>
      <c r="AF94" s="94"/>
      <c r="AG94" s="94"/>
      <c r="AH94" s="94"/>
      <c r="AI94" s="94"/>
      <c r="AJ94" s="94"/>
      <c r="AK94" s="94"/>
      <c r="AL94" s="94"/>
      <c r="AM94" s="94"/>
      <c r="AN94" s="94"/>
      <c r="AO94" s="94"/>
      <c r="AP94" s="94"/>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row>
    <row r="95" spans="1:64" s="123" customFormat="1" ht="18.75" customHeight="1" x14ac:dyDescent="0.25">
      <c r="A95" s="21"/>
      <c r="B95" s="210"/>
      <c r="C95" s="210"/>
      <c r="D95" s="210"/>
      <c r="E95" s="210"/>
      <c r="F95" s="210"/>
      <c r="G95" s="210"/>
      <c r="H95" s="210"/>
      <c r="I95" s="210"/>
      <c r="J95" s="210"/>
      <c r="K95" s="210"/>
      <c r="L95" s="210"/>
      <c r="M95" s="210"/>
      <c r="N95" s="210"/>
      <c r="O95" s="210"/>
      <c r="P95" s="214"/>
      <c r="Q95" s="210"/>
      <c r="R95" s="210"/>
      <c r="S95" s="210"/>
      <c r="T95" s="210"/>
      <c r="U95" s="210"/>
      <c r="V95" s="210"/>
      <c r="W95" s="210"/>
      <c r="X95" s="210"/>
      <c r="Y95" s="210"/>
      <c r="Z95" s="210"/>
      <c r="AA95" s="210"/>
      <c r="AC95" s="94"/>
      <c r="AD95" s="94"/>
      <c r="AE95" s="94"/>
      <c r="AF95" s="94"/>
      <c r="AG95" s="94"/>
      <c r="AH95" s="94"/>
      <c r="AI95" s="94"/>
      <c r="AJ95" s="94"/>
      <c r="AK95" s="94"/>
      <c r="AL95" s="94"/>
      <c r="AM95" s="94"/>
      <c r="AN95" s="94"/>
      <c r="AO95" s="94"/>
      <c r="AP95" s="94"/>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row>
    <row r="96" spans="1:64" s="123" customFormat="1" ht="18.75" customHeight="1" x14ac:dyDescent="0.25">
      <c r="A96" s="21"/>
      <c r="B96" s="210"/>
      <c r="C96" s="210"/>
      <c r="D96" s="210"/>
      <c r="E96" s="210"/>
      <c r="F96" s="210"/>
      <c r="G96" s="210"/>
      <c r="H96" s="210"/>
      <c r="I96" s="210"/>
      <c r="J96" s="210"/>
      <c r="K96" s="210"/>
      <c r="L96" s="210"/>
      <c r="M96" s="210"/>
      <c r="N96" s="210"/>
      <c r="O96" s="210"/>
      <c r="P96" s="214"/>
      <c r="Q96" s="210"/>
      <c r="R96" s="210"/>
      <c r="S96" s="210"/>
      <c r="T96" s="210"/>
      <c r="U96" s="210"/>
      <c r="V96" s="210"/>
      <c r="W96" s="210"/>
      <c r="X96" s="210"/>
      <c r="Y96" s="210"/>
      <c r="Z96" s="210"/>
      <c r="AA96" s="210"/>
      <c r="AC96" s="94"/>
      <c r="AD96" s="94"/>
      <c r="AE96" s="94"/>
      <c r="AF96" s="94"/>
      <c r="AG96" s="94"/>
      <c r="AH96" s="94"/>
      <c r="AI96" s="94"/>
      <c r="AJ96" s="94"/>
      <c r="AK96" s="94"/>
      <c r="AL96" s="94"/>
      <c r="AM96" s="94"/>
      <c r="AN96" s="94"/>
      <c r="AO96" s="94"/>
      <c r="AP96" s="94"/>
      <c r="AQ96" s="129"/>
      <c r="AR96" s="129"/>
      <c r="AS96" s="129"/>
      <c r="AT96" s="129"/>
      <c r="AU96" s="129"/>
      <c r="AV96" s="129"/>
      <c r="AW96" s="129"/>
      <c r="AX96" s="129"/>
      <c r="AY96" s="129"/>
      <c r="AZ96" s="129"/>
      <c r="BA96" s="129"/>
      <c r="BB96" s="129"/>
      <c r="BC96" s="129"/>
      <c r="BD96" s="129"/>
      <c r="BE96" s="129"/>
      <c r="BF96" s="129"/>
      <c r="BG96" s="129"/>
      <c r="BH96" s="129"/>
      <c r="BI96" s="129"/>
      <c r="BJ96" s="129"/>
      <c r="BK96" s="129"/>
      <c r="BL96" s="129"/>
    </row>
    <row r="97" spans="1:64" s="123" customFormat="1" ht="18.75" customHeight="1" x14ac:dyDescent="0.25">
      <c r="A97" s="21"/>
      <c r="B97" s="210"/>
      <c r="C97" s="210"/>
      <c r="D97" s="210"/>
      <c r="E97" s="210"/>
      <c r="F97" s="210"/>
      <c r="G97" s="210"/>
      <c r="H97" s="210"/>
      <c r="I97" s="210"/>
      <c r="J97" s="210"/>
      <c r="K97" s="210"/>
      <c r="L97" s="210"/>
      <c r="M97" s="210"/>
      <c r="N97" s="210"/>
      <c r="O97" s="210"/>
      <c r="P97" s="214"/>
      <c r="Q97" s="210"/>
      <c r="R97" s="210"/>
      <c r="S97" s="210"/>
      <c r="T97" s="210"/>
      <c r="U97" s="210"/>
      <c r="V97" s="210"/>
      <c r="W97" s="210"/>
      <c r="X97" s="210"/>
      <c r="Y97" s="210"/>
      <c r="Z97" s="210"/>
      <c r="AA97" s="210"/>
      <c r="AC97" s="94"/>
      <c r="AD97" s="94"/>
      <c r="AE97" s="94"/>
      <c r="AF97" s="94"/>
      <c r="AG97" s="94"/>
      <c r="AH97" s="94"/>
      <c r="AI97" s="94"/>
      <c r="AJ97" s="94"/>
      <c r="AK97" s="94"/>
      <c r="AL97" s="94"/>
      <c r="AM97" s="94"/>
      <c r="AN97" s="94"/>
      <c r="AO97" s="94"/>
      <c r="AP97" s="94"/>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row>
    <row r="98" spans="1:64" s="123" customFormat="1" ht="18.75" customHeight="1" x14ac:dyDescent="0.25">
      <c r="A98" s="21"/>
      <c r="B98" s="210"/>
      <c r="C98" s="210"/>
      <c r="D98" s="210"/>
      <c r="E98" s="210"/>
      <c r="F98" s="210"/>
      <c r="G98" s="210"/>
      <c r="H98" s="210"/>
      <c r="I98" s="210"/>
      <c r="J98" s="210"/>
      <c r="K98" s="210"/>
      <c r="L98" s="210"/>
      <c r="M98" s="210"/>
      <c r="N98" s="210"/>
      <c r="O98" s="210"/>
      <c r="P98" s="214"/>
      <c r="Q98" s="210"/>
      <c r="R98" s="210"/>
      <c r="S98" s="210"/>
      <c r="T98" s="210"/>
      <c r="U98" s="210"/>
      <c r="V98" s="210"/>
      <c r="W98" s="210"/>
      <c r="X98" s="210"/>
      <c r="Y98" s="210"/>
      <c r="Z98" s="210"/>
      <c r="AA98" s="210"/>
      <c r="AC98" s="94"/>
      <c r="AD98" s="94"/>
      <c r="AE98" s="94"/>
      <c r="AF98" s="94"/>
      <c r="AG98" s="94"/>
      <c r="AH98" s="94"/>
      <c r="AI98" s="94"/>
      <c r="AJ98" s="94"/>
      <c r="AK98" s="94"/>
      <c r="AL98" s="94"/>
      <c r="AM98" s="94"/>
      <c r="AN98" s="94"/>
      <c r="AO98" s="94"/>
      <c r="AP98" s="94"/>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row>
    <row r="99" spans="1:64" s="123" customFormat="1" ht="18.75" customHeight="1" x14ac:dyDescent="0.25">
      <c r="A99" s="21"/>
      <c r="B99" s="210"/>
      <c r="C99" s="210"/>
      <c r="D99" s="210"/>
      <c r="E99" s="210"/>
      <c r="F99" s="210"/>
      <c r="G99" s="210"/>
      <c r="H99" s="210"/>
      <c r="I99" s="210"/>
      <c r="J99" s="210"/>
      <c r="K99" s="210"/>
      <c r="L99" s="210"/>
      <c r="M99" s="210"/>
      <c r="N99" s="210"/>
      <c r="O99" s="210"/>
      <c r="P99" s="214"/>
      <c r="Q99" s="210"/>
      <c r="R99" s="210"/>
      <c r="S99" s="210"/>
      <c r="T99" s="210"/>
      <c r="U99" s="210"/>
      <c r="V99" s="210"/>
      <c r="W99" s="210"/>
      <c r="X99" s="210"/>
      <c r="Y99" s="210"/>
      <c r="Z99" s="210"/>
      <c r="AA99" s="210"/>
      <c r="AC99" s="94"/>
      <c r="AD99" s="94"/>
      <c r="AE99" s="94"/>
      <c r="AF99" s="94"/>
      <c r="AG99" s="94"/>
      <c r="AH99" s="94"/>
      <c r="AI99" s="94"/>
      <c r="AJ99" s="94"/>
      <c r="AK99" s="94"/>
      <c r="AL99" s="94"/>
      <c r="AM99" s="94"/>
      <c r="AN99" s="94"/>
      <c r="AO99" s="94"/>
      <c r="AP99" s="94"/>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64" s="123" customFormat="1" ht="18.75" customHeight="1" x14ac:dyDescent="0.25">
      <c r="A100" s="21"/>
      <c r="B100" s="210"/>
      <c r="C100" s="210"/>
      <c r="D100" s="210"/>
      <c r="E100" s="210"/>
      <c r="F100" s="210"/>
      <c r="G100" s="210"/>
      <c r="H100" s="210"/>
      <c r="I100" s="210"/>
      <c r="J100" s="210"/>
      <c r="K100" s="210"/>
      <c r="L100" s="210"/>
      <c r="M100" s="210"/>
      <c r="N100" s="210"/>
      <c r="O100" s="210"/>
      <c r="P100" s="214"/>
      <c r="Q100" s="210"/>
      <c r="R100" s="210"/>
      <c r="S100" s="210"/>
      <c r="T100" s="210"/>
      <c r="U100" s="210"/>
      <c r="V100" s="210"/>
      <c r="W100" s="210"/>
      <c r="X100" s="210"/>
      <c r="Y100" s="210"/>
      <c r="Z100" s="210"/>
      <c r="AA100" s="210"/>
      <c r="AC100" s="94"/>
      <c r="AD100" s="94"/>
      <c r="AE100" s="94"/>
      <c r="AF100" s="94"/>
      <c r="AG100" s="94"/>
      <c r="AH100" s="94"/>
      <c r="AI100" s="94"/>
      <c r="AJ100" s="94"/>
      <c r="AK100" s="94"/>
      <c r="AL100" s="94"/>
      <c r="AM100" s="94"/>
      <c r="AN100" s="94"/>
      <c r="AO100" s="94"/>
      <c r="AP100" s="94"/>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row>
    <row r="101" spans="1:64" s="123" customFormat="1" ht="18.75" customHeight="1" x14ac:dyDescent="0.25">
      <c r="A101" s="21"/>
      <c r="B101" s="210"/>
      <c r="C101" s="210"/>
      <c r="D101" s="210"/>
      <c r="E101" s="210"/>
      <c r="F101" s="210"/>
      <c r="G101" s="210"/>
      <c r="H101" s="210"/>
      <c r="I101" s="210"/>
      <c r="J101" s="210"/>
      <c r="K101" s="210"/>
      <c r="L101" s="210"/>
      <c r="M101" s="210"/>
      <c r="N101" s="210"/>
      <c r="O101" s="210"/>
      <c r="P101" s="214"/>
      <c r="Q101" s="210"/>
      <c r="R101" s="210"/>
      <c r="S101" s="210"/>
      <c r="T101" s="210"/>
      <c r="U101" s="210"/>
      <c r="V101" s="210"/>
      <c r="W101" s="210"/>
      <c r="X101" s="210"/>
      <c r="Y101" s="210"/>
      <c r="Z101" s="210"/>
      <c r="AA101" s="210"/>
      <c r="AC101" s="94"/>
      <c r="AD101" s="94"/>
      <c r="AE101" s="94"/>
      <c r="AF101" s="94"/>
      <c r="AG101" s="94"/>
      <c r="AH101" s="94"/>
      <c r="AI101" s="94"/>
      <c r="AJ101" s="94"/>
      <c r="AK101" s="94"/>
      <c r="AL101" s="94"/>
      <c r="AM101" s="94"/>
      <c r="AN101" s="94"/>
      <c r="AO101" s="94"/>
      <c r="AP101" s="94"/>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row>
    <row r="102" spans="1:64" s="123" customFormat="1" ht="18.75" customHeight="1" x14ac:dyDescent="0.25">
      <c r="A102" s="21"/>
      <c r="B102" s="210"/>
      <c r="C102" s="210"/>
      <c r="D102" s="210"/>
      <c r="E102" s="210"/>
      <c r="F102" s="210"/>
      <c r="G102" s="210"/>
      <c r="H102" s="210"/>
      <c r="I102" s="210"/>
      <c r="J102" s="210"/>
      <c r="K102" s="210"/>
      <c r="L102" s="210"/>
      <c r="M102" s="210"/>
      <c r="N102" s="210"/>
      <c r="O102" s="210"/>
      <c r="P102" s="214"/>
      <c r="Q102" s="210"/>
      <c r="R102" s="210"/>
      <c r="S102" s="210"/>
      <c r="T102" s="210"/>
      <c r="U102" s="210"/>
      <c r="V102" s="210"/>
      <c r="W102" s="210"/>
      <c r="X102" s="210"/>
      <c r="Y102" s="210"/>
      <c r="Z102" s="210"/>
      <c r="AA102" s="210"/>
      <c r="AC102" s="94"/>
      <c r="AD102" s="94"/>
      <c r="AE102" s="94"/>
      <c r="AF102" s="94"/>
      <c r="AG102" s="94"/>
      <c r="AH102" s="94"/>
      <c r="AI102" s="94"/>
      <c r="AJ102" s="94"/>
      <c r="AK102" s="94"/>
      <c r="AL102" s="94"/>
      <c r="AM102" s="94"/>
      <c r="AN102" s="94"/>
      <c r="AO102" s="94"/>
      <c r="AP102" s="94"/>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row>
    <row r="103" spans="1:64" s="123" customFormat="1" ht="18.75" customHeight="1" x14ac:dyDescent="0.25">
      <c r="A103" s="21"/>
      <c r="B103" s="210"/>
      <c r="C103" s="210"/>
      <c r="D103" s="210"/>
      <c r="E103" s="210"/>
      <c r="F103" s="210"/>
      <c r="G103" s="210"/>
      <c r="H103" s="210"/>
      <c r="I103" s="210"/>
      <c r="J103" s="210"/>
      <c r="K103" s="210"/>
      <c r="L103" s="210"/>
      <c r="M103" s="210"/>
      <c r="N103" s="210"/>
      <c r="O103" s="210"/>
      <c r="P103" s="214"/>
      <c r="Q103" s="210"/>
      <c r="R103" s="210"/>
      <c r="S103" s="210"/>
      <c r="T103" s="210"/>
      <c r="U103" s="210"/>
      <c r="V103" s="210"/>
      <c r="W103" s="210"/>
      <c r="X103" s="210"/>
      <c r="Y103" s="210"/>
      <c r="Z103" s="210"/>
      <c r="AA103" s="210"/>
      <c r="AC103" s="94"/>
      <c r="AD103" s="94"/>
      <c r="AE103" s="94"/>
      <c r="AF103" s="94"/>
      <c r="AG103" s="94"/>
      <c r="AH103" s="94"/>
      <c r="AI103" s="94"/>
      <c r="AJ103" s="94"/>
      <c r="AK103" s="94"/>
      <c r="AL103" s="94"/>
      <c r="AM103" s="94"/>
      <c r="AN103" s="94"/>
      <c r="AO103" s="94"/>
      <c r="AP103" s="94"/>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row>
    <row r="104" spans="1:64" s="123" customFormat="1" ht="18.75" customHeight="1" x14ac:dyDescent="0.25">
      <c r="A104" s="21"/>
      <c r="B104" s="210"/>
      <c r="C104" s="210"/>
      <c r="D104" s="210"/>
      <c r="E104" s="210"/>
      <c r="F104" s="210"/>
      <c r="G104" s="210"/>
      <c r="H104" s="210"/>
      <c r="I104" s="210"/>
      <c r="J104" s="210"/>
      <c r="K104" s="210"/>
      <c r="L104" s="210"/>
      <c r="M104" s="210"/>
      <c r="N104" s="210"/>
      <c r="O104" s="210"/>
      <c r="P104" s="214"/>
      <c r="Q104" s="210"/>
      <c r="R104" s="210"/>
      <c r="S104" s="210"/>
      <c r="T104" s="210"/>
      <c r="U104" s="210"/>
      <c r="V104" s="210"/>
      <c r="W104" s="210"/>
      <c r="X104" s="210"/>
      <c r="Y104" s="210"/>
      <c r="Z104" s="210"/>
      <c r="AA104" s="210"/>
      <c r="AC104" s="94"/>
      <c r="AD104" s="94"/>
      <c r="AE104" s="94"/>
      <c r="AF104" s="94"/>
      <c r="AG104" s="94"/>
      <c r="AH104" s="94"/>
      <c r="AI104" s="94"/>
      <c r="AJ104" s="94"/>
      <c r="AK104" s="94"/>
      <c r="AL104" s="94"/>
      <c r="AM104" s="94"/>
      <c r="AN104" s="94"/>
      <c r="AO104" s="94"/>
      <c r="AP104" s="94"/>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row>
    <row r="105" spans="1:64" s="123" customFormat="1" ht="18.75" customHeight="1" x14ac:dyDescent="0.25">
      <c r="A105" s="21"/>
      <c r="B105" s="210"/>
      <c r="C105" s="210"/>
      <c r="D105" s="210"/>
      <c r="E105" s="210"/>
      <c r="F105" s="210"/>
      <c r="G105" s="210"/>
      <c r="H105" s="210"/>
      <c r="I105" s="210"/>
      <c r="J105" s="210"/>
      <c r="K105" s="210"/>
      <c r="L105" s="210"/>
      <c r="M105" s="210"/>
      <c r="N105" s="210"/>
      <c r="O105" s="210"/>
      <c r="P105" s="214"/>
      <c r="Q105" s="210"/>
      <c r="R105" s="210"/>
      <c r="S105" s="210"/>
      <c r="T105" s="210"/>
      <c r="U105" s="210"/>
      <c r="V105" s="210"/>
      <c r="W105" s="210"/>
      <c r="X105" s="210"/>
      <c r="Y105" s="210"/>
      <c r="Z105" s="210"/>
      <c r="AA105" s="210"/>
      <c r="AC105" s="94"/>
      <c r="AD105" s="94"/>
      <c r="AE105" s="94"/>
      <c r="AF105" s="94"/>
      <c r="AG105" s="94"/>
      <c r="AH105" s="94"/>
      <c r="AI105" s="94"/>
      <c r="AJ105" s="94"/>
      <c r="AK105" s="94"/>
      <c r="AL105" s="94"/>
      <c r="AM105" s="94"/>
      <c r="AN105" s="94"/>
      <c r="AO105" s="94"/>
      <c r="AP105" s="94"/>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64" s="123" customFormat="1" ht="18.75" customHeight="1" x14ac:dyDescent="0.25">
      <c r="A106" s="21"/>
      <c r="B106" s="210"/>
      <c r="C106" s="210"/>
      <c r="D106" s="210"/>
      <c r="E106" s="210"/>
      <c r="F106" s="210"/>
      <c r="G106" s="210"/>
      <c r="H106" s="210"/>
      <c r="I106" s="210"/>
      <c r="J106" s="210"/>
      <c r="K106" s="210"/>
      <c r="L106" s="210"/>
      <c r="M106" s="210"/>
      <c r="N106" s="210"/>
      <c r="O106" s="210"/>
      <c r="P106" s="214"/>
      <c r="Q106" s="210"/>
      <c r="R106" s="210"/>
      <c r="S106" s="210"/>
      <c r="T106" s="210"/>
      <c r="U106" s="210"/>
      <c r="V106" s="210"/>
      <c r="W106" s="210"/>
      <c r="X106" s="210"/>
      <c r="Y106" s="210"/>
      <c r="Z106" s="210"/>
      <c r="AA106" s="210"/>
      <c r="AC106" s="94"/>
      <c r="AD106" s="94"/>
      <c r="AE106" s="94"/>
      <c r="AF106" s="94"/>
      <c r="AG106" s="94"/>
      <c r="AH106" s="94"/>
      <c r="AI106" s="94"/>
      <c r="AJ106" s="94"/>
      <c r="AK106" s="94"/>
      <c r="AL106" s="94"/>
      <c r="AM106" s="94"/>
      <c r="AN106" s="94"/>
      <c r="AO106" s="94"/>
      <c r="AP106" s="94"/>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64" s="123" customFormat="1" ht="18.75" customHeight="1" x14ac:dyDescent="0.25">
      <c r="A107" s="21"/>
      <c r="B107" s="210"/>
      <c r="C107" s="210"/>
      <c r="D107" s="210"/>
      <c r="E107" s="210"/>
      <c r="F107" s="210"/>
      <c r="G107" s="210"/>
      <c r="H107" s="210"/>
      <c r="I107" s="210"/>
      <c r="J107" s="210"/>
      <c r="K107" s="210"/>
      <c r="L107" s="210"/>
      <c r="M107" s="210"/>
      <c r="N107" s="210"/>
      <c r="O107" s="210"/>
      <c r="P107" s="214"/>
      <c r="Q107" s="210"/>
      <c r="R107" s="210"/>
      <c r="S107" s="210"/>
      <c r="T107" s="210"/>
      <c r="U107" s="210"/>
      <c r="V107" s="210"/>
      <c r="W107" s="210"/>
      <c r="X107" s="210"/>
      <c r="Y107" s="210"/>
      <c r="Z107" s="210"/>
      <c r="AA107" s="210"/>
      <c r="AC107" s="94"/>
      <c r="AD107" s="94"/>
      <c r="AE107" s="94"/>
      <c r="AF107" s="94"/>
      <c r="AG107" s="94"/>
      <c r="AH107" s="94"/>
      <c r="AI107" s="94"/>
      <c r="AJ107" s="94"/>
      <c r="AK107" s="94"/>
      <c r="AL107" s="94"/>
      <c r="AM107" s="94"/>
      <c r="AN107" s="94"/>
      <c r="AO107" s="94"/>
      <c r="AP107" s="94"/>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row>
    <row r="108" spans="1:64" s="123" customFormat="1" ht="18.75" customHeight="1" x14ac:dyDescent="0.25">
      <c r="A108" s="21"/>
      <c r="B108" s="210"/>
      <c r="C108" s="210"/>
      <c r="D108" s="210"/>
      <c r="E108" s="210"/>
      <c r="F108" s="210"/>
      <c r="G108" s="210"/>
      <c r="H108" s="210"/>
      <c r="I108" s="210"/>
      <c r="J108" s="210"/>
      <c r="K108" s="210"/>
      <c r="L108" s="210"/>
      <c r="M108" s="210"/>
      <c r="N108" s="210"/>
      <c r="O108" s="210"/>
      <c r="P108" s="214"/>
      <c r="Q108" s="210"/>
      <c r="R108" s="210"/>
      <c r="S108" s="210"/>
      <c r="T108" s="210"/>
      <c r="U108" s="210"/>
      <c r="V108" s="210"/>
      <c r="W108" s="210"/>
      <c r="X108" s="210"/>
      <c r="Y108" s="210"/>
      <c r="Z108" s="210"/>
      <c r="AA108" s="210"/>
      <c r="AC108" s="94"/>
      <c r="AD108" s="94"/>
      <c r="AE108" s="94"/>
      <c r="AF108" s="94"/>
      <c r="AG108" s="94"/>
      <c r="AH108" s="94"/>
      <c r="AI108" s="94"/>
      <c r="AJ108" s="94"/>
      <c r="AK108" s="94"/>
      <c r="AL108" s="94"/>
      <c r="AM108" s="94"/>
      <c r="AN108" s="94"/>
      <c r="AO108" s="94"/>
      <c r="AP108" s="94"/>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row>
    <row r="109" spans="1:64" s="123" customFormat="1" ht="18.75" customHeight="1" x14ac:dyDescent="0.25">
      <c r="A109" s="21"/>
      <c r="B109" s="210"/>
      <c r="C109" s="210"/>
      <c r="D109" s="210"/>
      <c r="E109" s="210"/>
      <c r="F109" s="210"/>
      <c r="G109" s="210"/>
      <c r="H109" s="210"/>
      <c r="I109" s="210"/>
      <c r="J109" s="210"/>
      <c r="K109" s="210"/>
      <c r="L109" s="210"/>
      <c r="M109" s="210"/>
      <c r="N109" s="210"/>
      <c r="O109" s="210"/>
      <c r="P109" s="214"/>
      <c r="Q109" s="210"/>
      <c r="R109" s="210"/>
      <c r="S109" s="210"/>
      <c r="T109" s="210"/>
      <c r="U109" s="210"/>
      <c r="V109" s="210"/>
      <c r="W109" s="210"/>
      <c r="X109" s="210"/>
      <c r="Y109" s="210"/>
      <c r="Z109" s="210"/>
      <c r="AA109" s="210"/>
      <c r="AC109" s="94"/>
      <c r="AD109" s="94"/>
      <c r="AE109" s="94"/>
      <c r="AF109" s="94"/>
      <c r="AG109" s="94"/>
      <c r="AH109" s="94"/>
      <c r="AI109" s="94"/>
      <c r="AJ109" s="94"/>
      <c r="AK109" s="94"/>
      <c r="AL109" s="94"/>
      <c r="AM109" s="94"/>
      <c r="AN109" s="94"/>
      <c r="AO109" s="94"/>
      <c r="AP109" s="94"/>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row>
    <row r="110" spans="1:64" s="123" customFormat="1" ht="18.75" customHeight="1" x14ac:dyDescent="0.25">
      <c r="A110" s="21"/>
      <c r="B110" s="210"/>
      <c r="C110" s="210"/>
      <c r="D110" s="210"/>
      <c r="E110" s="210"/>
      <c r="F110" s="210"/>
      <c r="G110" s="210"/>
      <c r="H110" s="210"/>
      <c r="I110" s="210"/>
      <c r="J110" s="210"/>
      <c r="K110" s="210"/>
      <c r="L110" s="210"/>
      <c r="M110" s="210"/>
      <c r="N110" s="210"/>
      <c r="O110" s="210"/>
      <c r="P110" s="214"/>
      <c r="Q110" s="210"/>
      <c r="R110" s="210"/>
      <c r="S110" s="210"/>
      <c r="T110" s="210"/>
      <c r="U110" s="210"/>
      <c r="V110" s="210"/>
      <c r="W110" s="210"/>
      <c r="X110" s="210"/>
      <c r="Y110" s="210"/>
      <c r="Z110" s="210"/>
      <c r="AA110" s="210"/>
      <c r="AC110" s="94"/>
      <c r="AD110" s="94"/>
      <c r="AE110" s="94"/>
      <c r="AF110" s="94"/>
      <c r="AG110" s="94"/>
      <c r="AH110" s="94"/>
      <c r="AI110" s="94"/>
      <c r="AJ110" s="94"/>
      <c r="AK110" s="94"/>
      <c r="AL110" s="94"/>
      <c r="AM110" s="94"/>
      <c r="AN110" s="94"/>
      <c r="AO110" s="94"/>
      <c r="AP110" s="94"/>
      <c r="AQ110" s="129"/>
      <c r="AR110" s="129"/>
      <c r="AS110" s="129"/>
      <c r="AT110" s="129"/>
      <c r="AU110" s="129"/>
      <c r="AV110" s="129"/>
      <c r="AW110" s="129"/>
      <c r="AX110" s="129"/>
      <c r="AY110" s="129"/>
      <c r="AZ110" s="129"/>
      <c r="BA110" s="129"/>
      <c r="BB110" s="129"/>
      <c r="BC110" s="129"/>
      <c r="BD110" s="129"/>
      <c r="BE110" s="129"/>
      <c r="BF110" s="129"/>
      <c r="BG110" s="129"/>
      <c r="BH110" s="129"/>
      <c r="BI110" s="129"/>
      <c r="BJ110" s="129"/>
      <c r="BK110" s="129"/>
      <c r="BL110" s="129"/>
    </row>
    <row r="111" spans="1:64" s="123" customFormat="1" ht="18.75" customHeight="1" x14ac:dyDescent="0.25">
      <c r="A111" s="21"/>
      <c r="B111" s="210"/>
      <c r="C111" s="210"/>
      <c r="D111" s="210"/>
      <c r="E111" s="210"/>
      <c r="F111" s="210"/>
      <c r="G111" s="210"/>
      <c r="H111" s="210"/>
      <c r="I111" s="210"/>
      <c r="J111" s="210"/>
      <c r="K111" s="210"/>
      <c r="L111" s="210"/>
      <c r="M111" s="210"/>
      <c r="N111" s="210"/>
      <c r="O111" s="210"/>
      <c r="P111" s="214"/>
      <c r="Q111" s="210"/>
      <c r="R111" s="210"/>
      <c r="S111" s="210"/>
      <c r="T111" s="210"/>
      <c r="U111" s="210"/>
      <c r="V111" s="210"/>
      <c r="W111" s="210"/>
      <c r="X111" s="210"/>
      <c r="Y111" s="210"/>
      <c r="Z111" s="210"/>
      <c r="AA111" s="210"/>
      <c r="AC111" s="94"/>
      <c r="AD111" s="94"/>
      <c r="AE111" s="94"/>
      <c r="AF111" s="94"/>
      <c r="AG111" s="94"/>
      <c r="AH111" s="94"/>
      <c r="AI111" s="94"/>
      <c r="AJ111" s="94"/>
      <c r="AK111" s="94"/>
      <c r="AL111" s="94"/>
      <c r="AM111" s="94"/>
      <c r="AN111" s="94"/>
      <c r="AO111" s="94"/>
      <c r="AP111" s="94"/>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row>
    <row r="112" spans="1:64" s="123" customFormat="1" ht="18.75" customHeight="1" x14ac:dyDescent="0.25">
      <c r="A112" s="21"/>
      <c r="B112" s="210"/>
      <c r="C112" s="210"/>
      <c r="D112" s="210"/>
      <c r="E112" s="210"/>
      <c r="F112" s="210"/>
      <c r="G112" s="210"/>
      <c r="H112" s="210"/>
      <c r="I112" s="210"/>
      <c r="J112" s="210"/>
      <c r="K112" s="210"/>
      <c r="L112" s="210"/>
      <c r="M112" s="210"/>
      <c r="N112" s="210"/>
      <c r="O112" s="210"/>
      <c r="P112" s="214"/>
      <c r="Q112" s="210"/>
      <c r="R112" s="210"/>
      <c r="S112" s="210"/>
      <c r="T112" s="210"/>
      <c r="U112" s="210"/>
      <c r="V112" s="210"/>
      <c r="W112" s="210"/>
      <c r="X112" s="210"/>
      <c r="Y112" s="210"/>
      <c r="Z112" s="210"/>
      <c r="AA112" s="210"/>
      <c r="AC112" s="94"/>
      <c r="AD112" s="94"/>
      <c r="AE112" s="94"/>
      <c r="AF112" s="94"/>
      <c r="AG112" s="94"/>
      <c r="AH112" s="94"/>
      <c r="AI112" s="94"/>
      <c r="AJ112" s="94"/>
      <c r="AK112" s="94"/>
      <c r="AL112" s="94"/>
      <c r="AM112" s="94"/>
      <c r="AN112" s="94"/>
      <c r="AO112" s="94"/>
      <c r="AP112" s="94"/>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row>
    <row r="113" spans="1:64" s="123" customFormat="1" ht="18.75" customHeight="1" x14ac:dyDescent="0.25">
      <c r="A113" s="21"/>
      <c r="B113" s="210"/>
      <c r="C113" s="210"/>
      <c r="D113" s="210"/>
      <c r="E113" s="210"/>
      <c r="F113" s="210"/>
      <c r="G113" s="210"/>
      <c r="H113" s="210"/>
      <c r="I113" s="210"/>
      <c r="J113" s="210"/>
      <c r="K113" s="210"/>
      <c r="L113" s="210"/>
      <c r="M113" s="210"/>
      <c r="N113" s="210"/>
      <c r="O113" s="210"/>
      <c r="P113" s="214"/>
      <c r="Q113" s="210"/>
      <c r="R113" s="210"/>
      <c r="S113" s="210"/>
      <c r="T113" s="210"/>
      <c r="U113" s="210"/>
      <c r="V113" s="210"/>
      <c r="W113" s="210"/>
      <c r="X113" s="210"/>
      <c r="Y113" s="210"/>
      <c r="Z113" s="210"/>
      <c r="AA113" s="210"/>
      <c r="AC113" s="94"/>
      <c r="AD113" s="94"/>
      <c r="AE113" s="94"/>
      <c r="AF113" s="94"/>
      <c r="AG113" s="94"/>
      <c r="AH113" s="94"/>
      <c r="AI113" s="94"/>
      <c r="AJ113" s="94"/>
      <c r="AK113" s="94"/>
      <c r="AL113" s="94"/>
      <c r="AM113" s="94"/>
      <c r="AN113" s="94"/>
      <c r="AO113" s="94"/>
      <c r="AP113" s="94"/>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row>
    <row r="114" spans="1:64" s="123" customFormat="1" ht="18.75" customHeight="1" x14ac:dyDescent="0.25">
      <c r="A114" s="21"/>
      <c r="B114" s="210"/>
      <c r="C114" s="210"/>
      <c r="D114" s="210"/>
      <c r="E114" s="210"/>
      <c r="F114" s="210"/>
      <c r="G114" s="210"/>
      <c r="H114" s="210"/>
      <c r="I114" s="210"/>
      <c r="J114" s="210"/>
      <c r="K114" s="210"/>
      <c r="L114" s="210"/>
      <c r="M114" s="210"/>
      <c r="N114" s="210"/>
      <c r="O114" s="210"/>
      <c r="P114" s="214"/>
      <c r="Q114" s="210"/>
      <c r="R114" s="210"/>
      <c r="S114" s="210"/>
      <c r="T114" s="210"/>
      <c r="U114" s="210"/>
      <c r="V114" s="210"/>
      <c r="W114" s="210"/>
      <c r="X114" s="210"/>
      <c r="Y114" s="210"/>
      <c r="Z114" s="210"/>
      <c r="AA114" s="210"/>
      <c r="AC114" s="94"/>
      <c r="AD114" s="94"/>
      <c r="AE114" s="94"/>
      <c r="AF114" s="94"/>
      <c r="AG114" s="94"/>
      <c r="AH114" s="94"/>
      <c r="AI114" s="94"/>
      <c r="AJ114" s="94"/>
      <c r="AK114" s="94"/>
      <c r="AL114" s="94"/>
      <c r="AM114" s="94"/>
      <c r="AN114" s="94"/>
      <c r="AO114" s="94"/>
      <c r="AP114" s="94"/>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row>
    <row r="115" spans="1:64" s="123" customFormat="1" ht="18.75" customHeight="1" x14ac:dyDescent="0.25">
      <c r="A115" s="21"/>
      <c r="B115" s="210"/>
      <c r="C115" s="210"/>
      <c r="D115" s="210"/>
      <c r="E115" s="210"/>
      <c r="F115" s="210"/>
      <c r="G115" s="210"/>
      <c r="H115" s="210"/>
      <c r="I115" s="210"/>
      <c r="J115" s="210"/>
      <c r="K115" s="210"/>
      <c r="L115" s="210"/>
      <c r="M115" s="210"/>
      <c r="N115" s="210"/>
      <c r="O115" s="210"/>
      <c r="P115" s="214"/>
      <c r="Q115" s="210"/>
      <c r="R115" s="210"/>
      <c r="S115" s="210"/>
      <c r="T115" s="210"/>
      <c r="U115" s="210"/>
      <c r="V115" s="210"/>
      <c r="W115" s="210"/>
      <c r="X115" s="210"/>
      <c r="Y115" s="210"/>
      <c r="Z115" s="210"/>
      <c r="AA115" s="210"/>
      <c r="AC115" s="94"/>
      <c r="AD115" s="94"/>
      <c r="AE115" s="94"/>
      <c r="AF115" s="94"/>
      <c r="AG115" s="94"/>
      <c r="AH115" s="94"/>
      <c r="AI115" s="94"/>
      <c r="AJ115" s="94"/>
      <c r="AK115" s="94"/>
      <c r="AL115" s="94"/>
      <c r="AM115" s="94"/>
      <c r="AN115" s="94"/>
      <c r="AO115" s="94"/>
      <c r="AP115" s="94"/>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row>
    <row r="116" spans="1:64" s="123" customFormat="1" ht="18.75" customHeight="1" x14ac:dyDescent="0.25">
      <c r="A116" s="21"/>
      <c r="B116" s="210"/>
      <c r="C116" s="210"/>
      <c r="D116" s="210"/>
      <c r="E116" s="210"/>
      <c r="F116" s="210"/>
      <c r="G116" s="210"/>
      <c r="H116" s="210"/>
      <c r="I116" s="210"/>
      <c r="J116" s="210"/>
      <c r="K116" s="210"/>
      <c r="L116" s="210"/>
      <c r="M116" s="210"/>
      <c r="N116" s="210"/>
      <c r="O116" s="210"/>
      <c r="P116" s="214"/>
      <c r="Q116" s="210"/>
      <c r="R116" s="210"/>
      <c r="S116" s="210"/>
      <c r="T116" s="210"/>
      <c r="U116" s="210"/>
      <c r="V116" s="210"/>
      <c r="W116" s="210"/>
      <c r="X116" s="210"/>
      <c r="Y116" s="210"/>
      <c r="Z116" s="210"/>
      <c r="AA116" s="210"/>
      <c r="AC116" s="94"/>
      <c r="AD116" s="94"/>
      <c r="AE116" s="94"/>
      <c r="AF116" s="94"/>
      <c r="AG116" s="94"/>
      <c r="AH116" s="94"/>
      <c r="AI116" s="94"/>
      <c r="AJ116" s="94"/>
      <c r="AK116" s="94"/>
      <c r="AL116" s="94"/>
      <c r="AM116" s="94"/>
      <c r="AN116" s="94"/>
      <c r="AO116" s="94"/>
      <c r="AP116" s="94"/>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row>
    <row r="117" spans="1:64" s="123" customFormat="1" ht="18.75" customHeight="1" x14ac:dyDescent="0.25">
      <c r="A117" s="21"/>
      <c r="B117" s="210"/>
      <c r="C117" s="210"/>
      <c r="D117" s="210"/>
      <c r="E117" s="210"/>
      <c r="F117" s="210"/>
      <c r="G117" s="210"/>
      <c r="H117" s="210"/>
      <c r="I117" s="210"/>
      <c r="J117" s="210"/>
      <c r="K117" s="210"/>
      <c r="L117" s="210"/>
      <c r="M117" s="210"/>
      <c r="N117" s="210"/>
      <c r="O117" s="210"/>
      <c r="P117" s="214"/>
      <c r="Q117" s="210"/>
      <c r="R117" s="210"/>
      <c r="S117" s="210"/>
      <c r="T117" s="210"/>
      <c r="U117" s="210"/>
      <c r="V117" s="210"/>
      <c r="W117" s="210"/>
      <c r="X117" s="210"/>
      <c r="Y117" s="210"/>
      <c r="Z117" s="210"/>
      <c r="AA117" s="210"/>
      <c r="AC117" s="94"/>
      <c r="AD117" s="94"/>
      <c r="AE117" s="94"/>
      <c r="AF117" s="94"/>
      <c r="AG117" s="94"/>
      <c r="AH117" s="94"/>
      <c r="AI117" s="94"/>
      <c r="AJ117" s="94"/>
      <c r="AK117" s="94"/>
      <c r="AL117" s="94"/>
      <c r="AM117" s="94"/>
      <c r="AN117" s="94"/>
      <c r="AO117" s="94"/>
      <c r="AP117" s="94"/>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row>
    <row r="118" spans="1:64" s="123" customFormat="1" ht="18.75" customHeight="1" x14ac:dyDescent="0.25">
      <c r="A118" s="21"/>
      <c r="B118" s="210"/>
      <c r="C118" s="210"/>
      <c r="D118" s="210"/>
      <c r="E118" s="210"/>
      <c r="F118" s="210"/>
      <c r="G118" s="210"/>
      <c r="H118" s="210"/>
      <c r="I118" s="210"/>
      <c r="J118" s="210"/>
      <c r="K118" s="210"/>
      <c r="L118" s="210"/>
      <c r="M118" s="210"/>
      <c r="N118" s="210"/>
      <c r="O118" s="210"/>
      <c r="P118" s="214"/>
      <c r="Q118" s="210"/>
      <c r="R118" s="210"/>
      <c r="S118" s="210"/>
      <c r="T118" s="210"/>
      <c r="U118" s="210"/>
      <c r="V118" s="210"/>
      <c r="W118" s="210"/>
      <c r="X118" s="210"/>
      <c r="Y118" s="210"/>
      <c r="Z118" s="210"/>
      <c r="AA118" s="210"/>
      <c r="AC118" s="94"/>
      <c r="AD118" s="94"/>
      <c r="AE118" s="94"/>
      <c r="AF118" s="94"/>
      <c r="AG118" s="94"/>
      <c r="AH118" s="94"/>
      <c r="AI118" s="94"/>
      <c r="AJ118" s="94"/>
      <c r="AK118" s="94"/>
      <c r="AL118" s="94"/>
      <c r="AM118" s="94"/>
      <c r="AN118" s="94"/>
      <c r="AO118" s="94"/>
      <c r="AP118" s="94"/>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row>
    <row r="119" spans="1:64" s="123" customFormat="1" ht="18.75" customHeight="1" x14ac:dyDescent="0.25">
      <c r="A119" s="21"/>
      <c r="B119" s="210"/>
      <c r="C119" s="210"/>
      <c r="D119" s="210"/>
      <c r="E119" s="210"/>
      <c r="F119" s="210"/>
      <c r="G119" s="210"/>
      <c r="H119" s="210"/>
      <c r="I119" s="210"/>
      <c r="J119" s="210"/>
      <c r="K119" s="210"/>
      <c r="L119" s="210"/>
      <c r="M119" s="210"/>
      <c r="N119" s="210"/>
      <c r="O119" s="210"/>
      <c r="P119" s="214"/>
      <c r="Q119" s="210"/>
      <c r="R119" s="210"/>
      <c r="S119" s="210"/>
      <c r="T119" s="210"/>
      <c r="U119" s="210"/>
      <c r="V119" s="210"/>
      <c r="W119" s="210"/>
      <c r="X119" s="210"/>
      <c r="Y119" s="210"/>
      <c r="Z119" s="210"/>
      <c r="AA119" s="210"/>
      <c r="AC119" s="94"/>
      <c r="AD119" s="94"/>
      <c r="AE119" s="94"/>
      <c r="AF119" s="94"/>
      <c r="AG119" s="94"/>
      <c r="AH119" s="94"/>
      <c r="AI119" s="94"/>
      <c r="AJ119" s="94"/>
      <c r="AK119" s="94"/>
      <c r="AL119" s="94"/>
      <c r="AM119" s="94"/>
      <c r="AN119" s="94"/>
      <c r="AO119" s="94"/>
      <c r="AP119" s="94"/>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row>
    <row r="120" spans="1:64" s="123" customFormat="1" ht="18.75" customHeight="1" x14ac:dyDescent="0.25">
      <c r="A120" s="21"/>
      <c r="B120" s="210"/>
      <c r="C120" s="210"/>
      <c r="D120" s="210"/>
      <c r="E120" s="210"/>
      <c r="F120" s="210"/>
      <c r="G120" s="210"/>
      <c r="H120" s="210"/>
      <c r="I120" s="210"/>
      <c r="J120" s="210"/>
      <c r="K120" s="210"/>
      <c r="L120" s="210"/>
      <c r="M120" s="210"/>
      <c r="N120" s="210"/>
      <c r="O120" s="210"/>
      <c r="P120" s="214"/>
      <c r="Q120" s="210"/>
      <c r="R120" s="210"/>
      <c r="S120" s="210"/>
      <c r="T120" s="210"/>
      <c r="U120" s="210"/>
      <c r="V120" s="210"/>
      <c r="W120" s="210"/>
      <c r="X120" s="210"/>
      <c r="Y120" s="210"/>
      <c r="Z120" s="210"/>
      <c r="AA120" s="210"/>
      <c r="AC120" s="94"/>
      <c r="AD120" s="94"/>
      <c r="AE120" s="94"/>
      <c r="AF120" s="94"/>
      <c r="AG120" s="94"/>
      <c r="AH120" s="94"/>
      <c r="AI120" s="94"/>
      <c r="AJ120" s="94"/>
      <c r="AK120" s="94"/>
      <c r="AL120" s="94"/>
      <c r="AM120" s="94"/>
      <c r="AN120" s="94"/>
      <c r="AO120" s="94"/>
      <c r="AP120" s="94"/>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row>
    <row r="121" spans="1:64" s="123" customFormat="1" ht="18.75" customHeight="1" x14ac:dyDescent="0.25">
      <c r="A121" s="21"/>
      <c r="B121" s="210"/>
      <c r="C121" s="210"/>
      <c r="D121" s="210"/>
      <c r="E121" s="210"/>
      <c r="F121" s="210"/>
      <c r="G121" s="210"/>
      <c r="H121" s="210"/>
      <c r="I121" s="210"/>
      <c r="J121" s="210"/>
      <c r="K121" s="210"/>
      <c r="L121" s="210"/>
      <c r="M121" s="210"/>
      <c r="N121" s="210"/>
      <c r="O121" s="210"/>
      <c r="P121" s="214"/>
      <c r="Q121" s="210"/>
      <c r="R121" s="210"/>
      <c r="S121" s="210"/>
      <c r="T121" s="210"/>
      <c r="U121" s="210"/>
      <c r="V121" s="210"/>
      <c r="W121" s="210"/>
      <c r="X121" s="210"/>
      <c r="Y121" s="210"/>
      <c r="Z121" s="210"/>
      <c r="AA121" s="210"/>
      <c r="AC121" s="94"/>
      <c r="AD121" s="94"/>
      <c r="AE121" s="94"/>
      <c r="AF121" s="94"/>
      <c r="AG121" s="94"/>
      <c r="AH121" s="94"/>
      <c r="AI121" s="94"/>
      <c r="AJ121" s="94"/>
      <c r="AK121" s="94"/>
      <c r="AL121" s="94"/>
      <c r="AM121" s="94"/>
      <c r="AN121" s="94"/>
      <c r="AO121" s="94"/>
      <c r="AP121" s="94"/>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row>
    <row r="122" spans="1:64" s="123" customFormat="1" ht="18.75" customHeight="1" x14ac:dyDescent="0.25">
      <c r="A122" s="21"/>
      <c r="B122" s="210"/>
      <c r="C122" s="210"/>
      <c r="D122" s="210"/>
      <c r="E122" s="210"/>
      <c r="F122" s="210"/>
      <c r="G122" s="210"/>
      <c r="H122" s="210"/>
      <c r="I122" s="210"/>
      <c r="J122" s="210"/>
      <c r="K122" s="210"/>
      <c r="L122" s="210"/>
      <c r="M122" s="210"/>
      <c r="N122" s="210"/>
      <c r="O122" s="210"/>
      <c r="P122" s="214"/>
      <c r="Q122" s="210"/>
      <c r="R122" s="210"/>
      <c r="S122" s="210"/>
      <c r="T122" s="210"/>
      <c r="U122" s="210"/>
      <c r="V122" s="210"/>
      <c r="W122" s="210"/>
      <c r="X122" s="210"/>
      <c r="Y122" s="210"/>
      <c r="Z122" s="210"/>
      <c r="AA122" s="210"/>
      <c r="AC122" s="94"/>
      <c r="AD122" s="94"/>
      <c r="AE122" s="94"/>
      <c r="AF122" s="94"/>
      <c r="AG122" s="94"/>
      <c r="AH122" s="94"/>
      <c r="AI122" s="94"/>
      <c r="AJ122" s="94"/>
      <c r="AK122" s="94"/>
      <c r="AL122" s="94"/>
      <c r="AM122" s="94"/>
      <c r="AN122" s="94"/>
      <c r="AO122" s="94"/>
      <c r="AP122" s="94"/>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row>
    <row r="123" spans="1:64" s="123" customFormat="1" ht="18.75" customHeight="1" x14ac:dyDescent="0.25">
      <c r="A123" s="21"/>
      <c r="B123" s="210"/>
      <c r="C123" s="210"/>
      <c r="D123" s="210"/>
      <c r="E123" s="210"/>
      <c r="F123" s="210"/>
      <c r="G123" s="210"/>
      <c r="H123" s="210"/>
      <c r="I123" s="210"/>
      <c r="J123" s="210"/>
      <c r="K123" s="210"/>
      <c r="L123" s="210"/>
      <c r="M123" s="210"/>
      <c r="N123" s="210"/>
      <c r="O123" s="210"/>
      <c r="P123" s="214"/>
      <c r="Q123" s="210"/>
      <c r="R123" s="210"/>
      <c r="S123" s="210"/>
      <c r="T123" s="210"/>
      <c r="U123" s="210"/>
      <c r="V123" s="210"/>
      <c r="W123" s="210"/>
      <c r="X123" s="210"/>
      <c r="Y123" s="210"/>
      <c r="Z123" s="210"/>
      <c r="AA123" s="210"/>
      <c r="AC123" s="94"/>
      <c r="AD123" s="94"/>
      <c r="AE123" s="94"/>
      <c r="AF123" s="94"/>
      <c r="AG123" s="94"/>
      <c r="AH123" s="94"/>
      <c r="AI123" s="94"/>
      <c r="AJ123" s="94"/>
      <c r="AK123" s="94"/>
      <c r="AL123" s="94"/>
      <c r="AM123" s="94"/>
      <c r="AN123" s="94"/>
      <c r="AO123" s="94"/>
      <c r="AP123" s="94"/>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row>
    <row r="124" spans="1:64" s="123" customFormat="1" ht="18.75" customHeight="1" x14ac:dyDescent="0.25">
      <c r="A124" s="21"/>
      <c r="B124" s="210"/>
      <c r="C124" s="210"/>
      <c r="D124" s="210"/>
      <c r="E124" s="210"/>
      <c r="F124" s="210"/>
      <c r="G124" s="210"/>
      <c r="H124" s="210"/>
      <c r="I124" s="210"/>
      <c r="J124" s="210"/>
      <c r="K124" s="210"/>
      <c r="L124" s="210"/>
      <c r="M124" s="210"/>
      <c r="N124" s="210"/>
      <c r="O124" s="210"/>
      <c r="P124" s="214"/>
      <c r="Q124" s="210"/>
      <c r="R124" s="210"/>
      <c r="S124" s="210"/>
      <c r="T124" s="210"/>
      <c r="U124" s="210"/>
      <c r="V124" s="210"/>
      <c r="W124" s="210"/>
      <c r="X124" s="210"/>
      <c r="Y124" s="210"/>
      <c r="Z124" s="210"/>
      <c r="AA124" s="210"/>
      <c r="AC124" s="94"/>
      <c r="AD124" s="94"/>
      <c r="AE124" s="94"/>
      <c r="AF124" s="94"/>
      <c r="AG124" s="94"/>
      <c r="AH124" s="94"/>
      <c r="AI124" s="94"/>
      <c r="AJ124" s="94"/>
      <c r="AK124" s="94"/>
      <c r="AL124" s="94"/>
      <c r="AM124" s="94"/>
      <c r="AN124" s="94"/>
      <c r="AO124" s="94"/>
      <c r="AP124" s="94"/>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row>
    <row r="125" spans="1:64" s="123" customFormat="1" ht="18.75" customHeight="1" x14ac:dyDescent="0.25">
      <c r="A125" s="21"/>
      <c r="B125" s="210"/>
      <c r="C125" s="210"/>
      <c r="D125" s="210"/>
      <c r="E125" s="210"/>
      <c r="F125" s="210"/>
      <c r="G125" s="210"/>
      <c r="H125" s="210"/>
      <c r="I125" s="210"/>
      <c r="J125" s="210"/>
      <c r="K125" s="210"/>
      <c r="L125" s="210"/>
      <c r="M125" s="210"/>
      <c r="N125" s="210"/>
      <c r="O125" s="210"/>
      <c r="P125" s="214"/>
      <c r="Q125" s="210"/>
      <c r="R125" s="210"/>
      <c r="S125" s="210"/>
      <c r="T125" s="210"/>
      <c r="U125" s="210"/>
      <c r="V125" s="210"/>
      <c r="W125" s="210"/>
      <c r="X125" s="210"/>
      <c r="Y125" s="210"/>
      <c r="Z125" s="210"/>
      <c r="AA125" s="210"/>
      <c r="AC125" s="94"/>
      <c r="AD125" s="94"/>
      <c r="AE125" s="94"/>
      <c r="AF125" s="94"/>
      <c r="AG125" s="94"/>
      <c r="AH125" s="94"/>
      <c r="AI125" s="94"/>
      <c r="AJ125" s="94"/>
      <c r="AK125" s="94"/>
      <c r="AL125" s="94"/>
      <c r="AM125" s="94"/>
      <c r="AN125" s="94"/>
      <c r="AO125" s="94"/>
      <c r="AP125" s="94"/>
      <c r="AQ125" s="129"/>
      <c r="AR125" s="129"/>
      <c r="AS125" s="129"/>
      <c r="AT125" s="129"/>
      <c r="AU125" s="129"/>
      <c r="AV125" s="129"/>
      <c r="AW125" s="129"/>
      <c r="AX125" s="129"/>
      <c r="AY125" s="129"/>
      <c r="AZ125" s="129"/>
      <c r="BA125" s="129"/>
      <c r="BB125" s="129"/>
      <c r="BC125" s="129"/>
      <c r="BD125" s="129"/>
      <c r="BE125" s="129"/>
      <c r="BF125" s="129"/>
      <c r="BG125" s="129"/>
      <c r="BH125" s="129"/>
      <c r="BI125" s="129"/>
      <c r="BJ125" s="129"/>
      <c r="BK125" s="129"/>
      <c r="BL125" s="129"/>
    </row>
    <row r="126" spans="1:64" s="123" customFormat="1" ht="18.75" customHeight="1" x14ac:dyDescent="0.25">
      <c r="A126" s="21"/>
      <c r="B126" s="210"/>
      <c r="C126" s="210"/>
      <c r="D126" s="210"/>
      <c r="E126" s="210"/>
      <c r="F126" s="210"/>
      <c r="G126" s="210"/>
      <c r="H126" s="210"/>
      <c r="I126" s="210"/>
      <c r="J126" s="210"/>
      <c r="K126" s="210"/>
      <c r="L126" s="210"/>
      <c r="M126" s="210"/>
      <c r="N126" s="210"/>
      <c r="O126" s="210"/>
      <c r="P126" s="214"/>
      <c r="Q126" s="210"/>
      <c r="R126" s="210"/>
      <c r="S126" s="210"/>
      <c r="T126" s="210"/>
      <c r="U126" s="210"/>
      <c r="V126" s="210"/>
      <c r="W126" s="210"/>
      <c r="X126" s="210"/>
      <c r="Y126" s="210"/>
      <c r="Z126" s="210"/>
      <c r="AA126" s="210"/>
      <c r="AC126" s="94"/>
      <c r="AD126" s="94"/>
      <c r="AE126" s="94"/>
      <c r="AF126" s="94"/>
      <c r="AG126" s="94"/>
      <c r="AH126" s="94"/>
      <c r="AI126" s="94"/>
      <c r="AJ126" s="94"/>
      <c r="AK126" s="94"/>
      <c r="AL126" s="94"/>
      <c r="AM126" s="94"/>
      <c r="AN126" s="94"/>
      <c r="AO126" s="94"/>
      <c r="AP126" s="94"/>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29"/>
    </row>
    <row r="127" spans="1:64" s="123" customFormat="1" ht="18.75" customHeight="1" x14ac:dyDescent="0.25">
      <c r="A127" s="21"/>
      <c r="B127" s="210"/>
      <c r="C127" s="210"/>
      <c r="D127" s="210"/>
      <c r="E127" s="210"/>
      <c r="F127" s="210"/>
      <c r="G127" s="210"/>
      <c r="H127" s="210"/>
      <c r="I127" s="210"/>
      <c r="J127" s="210"/>
      <c r="K127" s="210"/>
      <c r="L127" s="210"/>
      <c r="M127" s="210"/>
      <c r="N127" s="210"/>
      <c r="O127" s="210"/>
      <c r="P127" s="214"/>
      <c r="Q127" s="210"/>
      <c r="R127" s="210"/>
      <c r="S127" s="210"/>
      <c r="T127" s="210"/>
      <c r="U127" s="210"/>
      <c r="V127" s="210"/>
      <c r="W127" s="210"/>
      <c r="X127" s="210"/>
      <c r="Y127" s="210"/>
      <c r="Z127" s="210"/>
      <c r="AA127" s="210"/>
      <c r="AC127" s="94"/>
      <c r="AD127" s="94"/>
      <c r="AE127" s="94"/>
      <c r="AF127" s="94"/>
      <c r="AG127" s="94"/>
      <c r="AH127" s="94"/>
      <c r="AI127" s="94"/>
      <c r="AJ127" s="94"/>
      <c r="AK127" s="94"/>
      <c r="AL127" s="94"/>
      <c r="AM127" s="94"/>
      <c r="AN127" s="94"/>
      <c r="AO127" s="94"/>
      <c r="AP127" s="94"/>
      <c r="AQ127" s="129"/>
      <c r="AR127" s="129"/>
      <c r="AS127" s="129"/>
      <c r="AT127" s="129"/>
      <c r="AU127" s="129"/>
      <c r="AV127" s="129"/>
      <c r="AW127" s="129"/>
      <c r="AX127" s="129"/>
      <c r="AY127" s="129"/>
      <c r="AZ127" s="129"/>
      <c r="BA127" s="129"/>
      <c r="BB127" s="129"/>
      <c r="BC127" s="129"/>
      <c r="BD127" s="129"/>
      <c r="BE127" s="129"/>
      <c r="BF127" s="129"/>
      <c r="BG127" s="129"/>
      <c r="BH127" s="129"/>
      <c r="BI127" s="129"/>
      <c r="BJ127" s="129"/>
      <c r="BK127" s="129"/>
      <c r="BL127" s="129"/>
    </row>
    <row r="128" spans="1:64" s="123" customFormat="1" ht="18.75" customHeight="1" x14ac:dyDescent="0.25">
      <c r="A128" s="21"/>
      <c r="B128" s="210"/>
      <c r="C128" s="210"/>
      <c r="D128" s="210"/>
      <c r="E128" s="210"/>
      <c r="F128" s="210"/>
      <c r="G128" s="210"/>
      <c r="H128" s="210"/>
      <c r="I128" s="210"/>
      <c r="J128" s="210"/>
      <c r="K128" s="210"/>
      <c r="L128" s="210"/>
      <c r="M128" s="210"/>
      <c r="N128" s="210"/>
      <c r="O128" s="210"/>
      <c r="P128" s="214"/>
      <c r="Q128" s="210"/>
      <c r="R128" s="210"/>
      <c r="S128" s="210"/>
      <c r="T128" s="210"/>
      <c r="U128" s="210"/>
      <c r="V128" s="210"/>
      <c r="W128" s="210"/>
      <c r="X128" s="210"/>
      <c r="Y128" s="210"/>
      <c r="Z128" s="210"/>
      <c r="AA128" s="210"/>
      <c r="AC128" s="94"/>
      <c r="AD128" s="94"/>
      <c r="AE128" s="94"/>
      <c r="AF128" s="94"/>
      <c r="AG128" s="94"/>
      <c r="AH128" s="94"/>
      <c r="AI128" s="94"/>
      <c r="AJ128" s="94"/>
      <c r="AK128" s="94"/>
      <c r="AL128" s="94"/>
      <c r="AM128" s="94"/>
      <c r="AN128" s="94"/>
      <c r="AO128" s="94"/>
      <c r="AP128" s="94"/>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row>
    <row r="129" spans="1:64" s="123" customFormat="1" ht="18.75" customHeight="1" x14ac:dyDescent="0.25">
      <c r="A129" s="21"/>
      <c r="B129" s="210"/>
      <c r="C129" s="210"/>
      <c r="D129" s="210"/>
      <c r="E129" s="210"/>
      <c r="F129" s="210"/>
      <c r="G129" s="210"/>
      <c r="H129" s="210"/>
      <c r="I129" s="210"/>
      <c r="J129" s="210"/>
      <c r="K129" s="210"/>
      <c r="L129" s="210"/>
      <c r="M129" s="210"/>
      <c r="N129" s="210"/>
      <c r="O129" s="210"/>
      <c r="P129" s="214"/>
      <c r="Q129" s="210"/>
      <c r="R129" s="210"/>
      <c r="S129" s="210"/>
      <c r="T129" s="210"/>
      <c r="U129" s="210"/>
      <c r="V129" s="210"/>
      <c r="W129" s="210"/>
      <c r="X129" s="210"/>
      <c r="Y129" s="210"/>
      <c r="Z129" s="210"/>
      <c r="AA129" s="210"/>
      <c r="AC129" s="94"/>
      <c r="AD129" s="94"/>
      <c r="AE129" s="94"/>
      <c r="AF129" s="94"/>
      <c r="AG129" s="94"/>
      <c r="AH129" s="94"/>
      <c r="AI129" s="94"/>
      <c r="AJ129" s="94"/>
      <c r="AK129" s="94"/>
      <c r="AL129" s="94"/>
      <c r="AM129" s="94"/>
      <c r="AN129" s="94"/>
      <c r="AO129" s="94"/>
      <c r="AP129" s="94"/>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row>
    <row r="130" spans="1:64" s="123" customFormat="1" ht="18.75" customHeight="1" x14ac:dyDescent="0.25">
      <c r="A130" s="21"/>
      <c r="B130" s="210"/>
      <c r="C130" s="210"/>
      <c r="D130" s="210"/>
      <c r="E130" s="210"/>
      <c r="F130" s="210"/>
      <c r="G130" s="210"/>
      <c r="H130" s="210"/>
      <c r="I130" s="210"/>
      <c r="J130" s="210"/>
      <c r="K130" s="210"/>
      <c r="L130" s="210"/>
      <c r="M130" s="210"/>
      <c r="N130" s="210"/>
      <c r="O130" s="210"/>
      <c r="P130" s="214"/>
      <c r="Q130" s="210"/>
      <c r="R130" s="210"/>
      <c r="S130" s="210"/>
      <c r="T130" s="210"/>
      <c r="U130" s="210"/>
      <c r="V130" s="210"/>
      <c r="W130" s="210"/>
      <c r="X130" s="210"/>
      <c r="Y130" s="210"/>
      <c r="Z130" s="210"/>
      <c r="AA130" s="210"/>
      <c r="AC130" s="94"/>
      <c r="AD130" s="94"/>
      <c r="AE130" s="94"/>
      <c r="AF130" s="94"/>
      <c r="AG130" s="94"/>
      <c r="AH130" s="94"/>
      <c r="AI130" s="94"/>
      <c r="AJ130" s="94"/>
      <c r="AK130" s="94"/>
      <c r="AL130" s="94"/>
      <c r="AM130" s="94"/>
      <c r="AN130" s="94"/>
      <c r="AO130" s="94"/>
      <c r="AP130" s="94"/>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29"/>
    </row>
    <row r="131" spans="1:64" s="123" customFormat="1" ht="18.75" customHeight="1" x14ac:dyDescent="0.25">
      <c r="A131" s="21"/>
      <c r="B131" s="210"/>
      <c r="C131" s="210"/>
      <c r="D131" s="210"/>
      <c r="E131" s="210"/>
      <c r="F131" s="210"/>
      <c r="G131" s="210"/>
      <c r="H131" s="210"/>
      <c r="I131" s="210"/>
      <c r="J131" s="210"/>
      <c r="K131" s="210"/>
      <c r="L131" s="210"/>
      <c r="M131" s="210"/>
      <c r="N131" s="210"/>
      <c r="O131" s="210"/>
      <c r="P131" s="214"/>
      <c r="Q131" s="210"/>
      <c r="R131" s="210"/>
      <c r="S131" s="210"/>
      <c r="T131" s="210"/>
      <c r="U131" s="210"/>
      <c r="V131" s="210"/>
      <c r="W131" s="210"/>
      <c r="X131" s="210"/>
      <c r="Y131" s="210"/>
      <c r="Z131" s="210"/>
      <c r="AA131" s="210"/>
      <c r="AC131" s="94"/>
      <c r="AD131" s="94"/>
      <c r="AE131" s="94"/>
      <c r="AF131" s="94"/>
      <c r="AG131" s="94"/>
      <c r="AH131" s="94"/>
      <c r="AI131" s="94"/>
      <c r="AJ131" s="94"/>
      <c r="AK131" s="94"/>
      <c r="AL131" s="94"/>
      <c r="AM131" s="94"/>
      <c r="AN131" s="94"/>
      <c r="AO131" s="94"/>
      <c r="AP131" s="94"/>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row>
    <row r="132" spans="1:64" s="123" customFormat="1" ht="18.75" customHeight="1" x14ac:dyDescent="0.25">
      <c r="A132" s="21"/>
      <c r="B132" s="210"/>
      <c r="C132" s="210"/>
      <c r="D132" s="210"/>
      <c r="E132" s="210"/>
      <c r="F132" s="210"/>
      <c r="G132" s="210"/>
      <c r="H132" s="210"/>
      <c r="I132" s="210"/>
      <c r="J132" s="210"/>
      <c r="K132" s="210"/>
      <c r="L132" s="210"/>
      <c r="M132" s="210"/>
      <c r="N132" s="210"/>
      <c r="O132" s="210"/>
      <c r="P132" s="214"/>
      <c r="Q132" s="210"/>
      <c r="R132" s="210"/>
      <c r="S132" s="210"/>
      <c r="T132" s="210"/>
      <c r="U132" s="210"/>
      <c r="V132" s="210"/>
      <c r="W132" s="210"/>
      <c r="X132" s="210"/>
      <c r="Y132" s="210"/>
      <c r="Z132" s="210"/>
      <c r="AA132" s="210"/>
      <c r="AC132" s="94"/>
      <c r="AD132" s="94"/>
      <c r="AE132" s="94"/>
      <c r="AF132" s="94"/>
      <c r="AG132" s="94"/>
      <c r="AH132" s="94"/>
      <c r="AI132" s="94"/>
      <c r="AJ132" s="94"/>
      <c r="AK132" s="94"/>
      <c r="AL132" s="94"/>
      <c r="AM132" s="94"/>
      <c r="AN132" s="94"/>
      <c r="AO132" s="94"/>
      <c r="AP132" s="94"/>
      <c r="AQ132" s="129"/>
      <c r="AR132" s="129"/>
      <c r="AS132" s="129"/>
      <c r="AT132" s="129"/>
      <c r="AU132" s="129"/>
      <c r="AV132" s="129"/>
      <c r="AW132" s="129"/>
      <c r="AX132" s="129"/>
      <c r="AY132" s="129"/>
      <c r="AZ132" s="129"/>
      <c r="BA132" s="129"/>
      <c r="BB132" s="129"/>
      <c r="BC132" s="129"/>
      <c r="BD132" s="129"/>
      <c r="BE132" s="129"/>
      <c r="BF132" s="129"/>
      <c r="BG132" s="129"/>
      <c r="BH132" s="129"/>
      <c r="BI132" s="129"/>
      <c r="BJ132" s="129"/>
      <c r="BK132" s="129"/>
      <c r="BL132" s="129"/>
    </row>
    <row r="133" spans="1:64" s="123" customFormat="1" ht="18.75" customHeight="1" x14ac:dyDescent="0.25">
      <c r="A133" s="21"/>
      <c r="B133" s="210"/>
      <c r="C133" s="210"/>
      <c r="D133" s="210"/>
      <c r="E133" s="210"/>
      <c r="F133" s="210"/>
      <c r="G133" s="210"/>
      <c r="H133" s="210"/>
      <c r="I133" s="210"/>
      <c r="J133" s="210"/>
      <c r="K133" s="210"/>
      <c r="L133" s="210"/>
      <c r="M133" s="210"/>
      <c r="N133" s="210"/>
      <c r="O133" s="210"/>
      <c r="P133" s="214"/>
      <c r="Q133" s="210"/>
      <c r="R133" s="210"/>
      <c r="S133" s="210"/>
      <c r="T133" s="210"/>
      <c r="U133" s="210"/>
      <c r="V133" s="210"/>
      <c r="W133" s="210"/>
      <c r="X133" s="210"/>
      <c r="Y133" s="210"/>
      <c r="Z133" s="210"/>
      <c r="AA133" s="210"/>
      <c r="AC133" s="94"/>
      <c r="AD133" s="94"/>
      <c r="AE133" s="94"/>
      <c r="AF133" s="94"/>
      <c r="AG133" s="94"/>
      <c r="AH133" s="94"/>
      <c r="AI133" s="94"/>
      <c r="AJ133" s="94"/>
      <c r="AK133" s="94"/>
      <c r="AL133" s="94"/>
      <c r="AM133" s="94"/>
      <c r="AN133" s="94"/>
      <c r="AO133" s="94"/>
      <c r="AP133" s="94"/>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row>
    <row r="134" spans="1:64" s="123" customFormat="1" ht="18.75" customHeight="1" x14ac:dyDescent="0.25">
      <c r="A134" s="21"/>
      <c r="B134" s="210"/>
      <c r="C134" s="210"/>
      <c r="D134" s="210"/>
      <c r="E134" s="210"/>
      <c r="F134" s="210"/>
      <c r="G134" s="210"/>
      <c r="H134" s="210"/>
      <c r="I134" s="210"/>
      <c r="J134" s="210"/>
      <c r="K134" s="210"/>
      <c r="L134" s="210"/>
      <c r="M134" s="210"/>
      <c r="N134" s="210"/>
      <c r="O134" s="210"/>
      <c r="P134" s="214"/>
      <c r="Q134" s="210"/>
      <c r="R134" s="210"/>
      <c r="S134" s="210"/>
      <c r="T134" s="210"/>
      <c r="U134" s="210"/>
      <c r="V134" s="210"/>
      <c r="W134" s="210"/>
      <c r="X134" s="210"/>
      <c r="Y134" s="210"/>
      <c r="Z134" s="210"/>
      <c r="AA134" s="210"/>
      <c r="AC134" s="94"/>
      <c r="AD134" s="94"/>
      <c r="AE134" s="94"/>
      <c r="AF134" s="94"/>
      <c r="AG134" s="94"/>
      <c r="AH134" s="94"/>
      <c r="AI134" s="94"/>
      <c r="AJ134" s="94"/>
      <c r="AK134" s="94"/>
      <c r="AL134" s="94"/>
      <c r="AM134" s="94"/>
      <c r="AN134" s="94"/>
      <c r="AO134" s="94"/>
      <c r="AP134" s="94"/>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row>
    <row r="135" spans="1:64" s="123" customFormat="1" ht="18.75" customHeight="1" x14ac:dyDescent="0.25">
      <c r="A135" s="21"/>
      <c r="B135" s="210"/>
      <c r="C135" s="210"/>
      <c r="D135" s="210"/>
      <c r="E135" s="210"/>
      <c r="F135" s="210"/>
      <c r="G135" s="210"/>
      <c r="H135" s="210"/>
      <c r="I135" s="210"/>
      <c r="J135" s="210"/>
      <c r="K135" s="210"/>
      <c r="L135" s="210"/>
      <c r="M135" s="210"/>
      <c r="N135" s="210"/>
      <c r="O135" s="210"/>
      <c r="P135" s="214"/>
      <c r="Q135" s="210"/>
      <c r="R135" s="210"/>
      <c r="S135" s="210"/>
      <c r="T135" s="210"/>
      <c r="U135" s="210"/>
      <c r="V135" s="210"/>
      <c r="W135" s="210"/>
      <c r="X135" s="210"/>
      <c r="Y135" s="210"/>
      <c r="Z135" s="210"/>
      <c r="AA135" s="210"/>
      <c r="AC135" s="94"/>
      <c r="AD135" s="94"/>
      <c r="AE135" s="94"/>
      <c r="AF135" s="94"/>
      <c r="AG135" s="94"/>
      <c r="AH135" s="94"/>
      <c r="AI135" s="94"/>
      <c r="AJ135" s="94"/>
      <c r="AK135" s="94"/>
      <c r="AL135" s="94"/>
      <c r="AM135" s="94"/>
      <c r="AN135" s="94"/>
      <c r="AO135" s="94"/>
      <c r="AP135" s="94"/>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row>
    <row r="136" spans="1:64" s="123" customFormat="1" ht="18.75" customHeight="1" x14ac:dyDescent="0.25">
      <c r="A136" s="21"/>
      <c r="B136" s="210"/>
      <c r="C136" s="210"/>
      <c r="D136" s="210"/>
      <c r="E136" s="210"/>
      <c r="F136" s="210"/>
      <c r="G136" s="210"/>
      <c r="H136" s="210"/>
      <c r="I136" s="210"/>
      <c r="J136" s="210"/>
      <c r="K136" s="210"/>
      <c r="L136" s="210"/>
      <c r="M136" s="210"/>
      <c r="N136" s="210"/>
      <c r="O136" s="210"/>
      <c r="P136" s="214"/>
      <c r="Q136" s="210"/>
      <c r="R136" s="210"/>
      <c r="S136" s="210"/>
      <c r="T136" s="210"/>
      <c r="U136" s="210"/>
      <c r="V136" s="210"/>
      <c r="W136" s="210"/>
      <c r="X136" s="210"/>
      <c r="Y136" s="210"/>
      <c r="Z136" s="210"/>
      <c r="AA136" s="210"/>
      <c r="AC136" s="94"/>
      <c r="AD136" s="94"/>
      <c r="AE136" s="94"/>
      <c r="AF136" s="94"/>
      <c r="AG136" s="94"/>
      <c r="AH136" s="94"/>
      <c r="AI136" s="94"/>
      <c r="AJ136" s="94"/>
      <c r="AK136" s="94"/>
      <c r="AL136" s="94"/>
      <c r="AM136" s="94"/>
      <c r="AN136" s="94"/>
      <c r="AO136" s="94"/>
      <c r="AP136" s="94"/>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row>
    <row r="137" spans="1:64" s="123" customFormat="1" ht="18.75" customHeight="1" x14ac:dyDescent="0.25">
      <c r="A137" s="21"/>
      <c r="B137" s="210"/>
      <c r="C137" s="210"/>
      <c r="D137" s="210"/>
      <c r="E137" s="210"/>
      <c r="F137" s="210"/>
      <c r="G137" s="210"/>
      <c r="H137" s="210"/>
      <c r="I137" s="210"/>
      <c r="J137" s="210"/>
      <c r="K137" s="210"/>
      <c r="L137" s="210"/>
      <c r="M137" s="210"/>
      <c r="N137" s="210"/>
      <c r="O137" s="210"/>
      <c r="P137" s="214"/>
      <c r="Q137" s="210"/>
      <c r="R137" s="210"/>
      <c r="S137" s="210"/>
      <c r="T137" s="210"/>
      <c r="U137" s="210"/>
      <c r="V137" s="210"/>
      <c r="W137" s="210"/>
      <c r="X137" s="210"/>
      <c r="Y137" s="210"/>
      <c r="Z137" s="210"/>
      <c r="AA137" s="210"/>
      <c r="AC137" s="94"/>
      <c r="AD137" s="94"/>
      <c r="AE137" s="94"/>
      <c r="AF137" s="94"/>
      <c r="AG137" s="94"/>
      <c r="AH137" s="94"/>
      <c r="AI137" s="94"/>
      <c r="AJ137" s="94"/>
      <c r="AK137" s="94"/>
      <c r="AL137" s="94"/>
      <c r="AM137" s="94"/>
      <c r="AN137" s="94"/>
      <c r="AO137" s="94"/>
      <c r="AP137" s="94"/>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row>
    <row r="138" spans="1:64" s="123" customFormat="1" ht="18.75" customHeight="1" x14ac:dyDescent="0.25">
      <c r="A138" s="21"/>
      <c r="B138" s="210"/>
      <c r="C138" s="210"/>
      <c r="D138" s="210"/>
      <c r="E138" s="210"/>
      <c r="F138" s="210"/>
      <c r="G138" s="210"/>
      <c r="H138" s="210"/>
      <c r="I138" s="210"/>
      <c r="J138" s="210"/>
      <c r="K138" s="210"/>
      <c r="L138" s="210"/>
      <c r="M138" s="210"/>
      <c r="N138" s="210"/>
      <c r="O138" s="210"/>
      <c r="P138" s="214"/>
      <c r="Q138" s="210"/>
      <c r="R138" s="210"/>
      <c r="S138" s="210"/>
      <c r="T138" s="210"/>
      <c r="U138" s="210"/>
      <c r="V138" s="210"/>
      <c r="W138" s="210"/>
      <c r="X138" s="210"/>
      <c r="Y138" s="210"/>
      <c r="Z138" s="210"/>
      <c r="AA138" s="210"/>
      <c r="AC138" s="94"/>
      <c r="AD138" s="94"/>
      <c r="AE138" s="94"/>
      <c r="AF138" s="94"/>
      <c r="AG138" s="94"/>
      <c r="AH138" s="94"/>
      <c r="AI138" s="94"/>
      <c r="AJ138" s="94"/>
      <c r="AK138" s="94"/>
      <c r="AL138" s="94"/>
      <c r="AM138" s="94"/>
      <c r="AN138" s="94"/>
      <c r="AO138" s="94"/>
      <c r="AP138" s="94"/>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row>
    <row r="139" spans="1:64" s="123" customFormat="1" ht="18.75" customHeight="1" x14ac:dyDescent="0.25">
      <c r="A139" s="21"/>
      <c r="B139" s="210"/>
      <c r="C139" s="210"/>
      <c r="D139" s="210"/>
      <c r="E139" s="210"/>
      <c r="F139" s="210"/>
      <c r="G139" s="210"/>
      <c r="H139" s="210"/>
      <c r="I139" s="210"/>
      <c r="J139" s="210"/>
      <c r="K139" s="210"/>
      <c r="L139" s="210"/>
      <c r="M139" s="210"/>
      <c r="N139" s="210"/>
      <c r="O139" s="210"/>
      <c r="P139" s="214"/>
      <c r="Q139" s="210"/>
      <c r="R139" s="210"/>
      <c r="S139" s="210"/>
      <c r="T139" s="210"/>
      <c r="U139" s="210"/>
      <c r="V139" s="210"/>
      <c r="W139" s="210"/>
      <c r="X139" s="210"/>
      <c r="Y139" s="210"/>
      <c r="Z139" s="210"/>
      <c r="AA139" s="210"/>
      <c r="AC139" s="94"/>
      <c r="AD139" s="94"/>
      <c r="AE139" s="94"/>
      <c r="AF139" s="94"/>
      <c r="AG139" s="94"/>
      <c r="AH139" s="94"/>
      <c r="AI139" s="94"/>
      <c r="AJ139" s="94"/>
      <c r="AK139" s="94"/>
      <c r="AL139" s="94"/>
      <c r="AM139" s="94"/>
      <c r="AN139" s="94"/>
      <c r="AO139" s="94"/>
      <c r="AP139" s="94"/>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row>
    <row r="140" spans="1:64" s="123" customFormat="1" ht="18.75" customHeight="1" x14ac:dyDescent="0.25">
      <c r="A140" s="21"/>
      <c r="B140" s="210"/>
      <c r="C140" s="210"/>
      <c r="D140" s="210"/>
      <c r="E140" s="210"/>
      <c r="F140" s="210"/>
      <c r="G140" s="210"/>
      <c r="H140" s="210"/>
      <c r="I140" s="210"/>
      <c r="J140" s="210"/>
      <c r="K140" s="210"/>
      <c r="L140" s="210"/>
      <c r="M140" s="210"/>
      <c r="N140" s="210"/>
      <c r="O140" s="210"/>
      <c r="P140" s="214"/>
      <c r="Q140" s="210"/>
      <c r="R140" s="210"/>
      <c r="S140" s="210"/>
      <c r="T140" s="210"/>
      <c r="U140" s="210"/>
      <c r="V140" s="210"/>
      <c r="W140" s="210"/>
      <c r="X140" s="210"/>
      <c r="Y140" s="210"/>
      <c r="Z140" s="210"/>
      <c r="AA140" s="210"/>
      <c r="AC140" s="94"/>
      <c r="AD140" s="94"/>
      <c r="AE140" s="94"/>
      <c r="AF140" s="94"/>
      <c r="AG140" s="94"/>
      <c r="AH140" s="94"/>
      <c r="AI140" s="94"/>
      <c r="AJ140" s="94"/>
      <c r="AK140" s="94"/>
      <c r="AL140" s="94"/>
      <c r="AM140" s="94"/>
      <c r="AN140" s="94"/>
      <c r="AO140" s="94"/>
      <c r="AP140" s="94"/>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row>
    <row r="141" spans="1:64" s="123" customFormat="1" ht="18.75" customHeight="1" x14ac:dyDescent="0.25">
      <c r="A141" s="21"/>
      <c r="B141" s="210"/>
      <c r="C141" s="210"/>
      <c r="D141" s="210"/>
      <c r="E141" s="210"/>
      <c r="F141" s="210"/>
      <c r="G141" s="210"/>
      <c r="H141" s="210"/>
      <c r="I141" s="210"/>
      <c r="J141" s="210"/>
      <c r="K141" s="210"/>
      <c r="L141" s="210"/>
      <c r="M141" s="210"/>
      <c r="N141" s="210"/>
      <c r="O141" s="210"/>
      <c r="P141" s="214"/>
      <c r="Q141" s="210"/>
      <c r="R141" s="210"/>
      <c r="S141" s="210"/>
      <c r="T141" s="210"/>
      <c r="U141" s="210"/>
      <c r="V141" s="210"/>
      <c r="W141" s="210"/>
      <c r="X141" s="210"/>
      <c r="Y141" s="210"/>
      <c r="Z141" s="210"/>
      <c r="AA141" s="210"/>
      <c r="AC141" s="94"/>
      <c r="AD141" s="94"/>
      <c r="AE141" s="94"/>
      <c r="AF141" s="94"/>
      <c r="AG141" s="94"/>
      <c r="AH141" s="94"/>
      <c r="AI141" s="94"/>
      <c r="AJ141" s="94"/>
      <c r="AK141" s="94"/>
      <c r="AL141" s="94"/>
      <c r="AM141" s="94"/>
      <c r="AN141" s="94"/>
      <c r="AO141" s="94"/>
      <c r="AP141" s="94"/>
      <c r="AQ141" s="129"/>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row>
    <row r="142" spans="1:64" s="123" customFormat="1" ht="18.75" customHeight="1" x14ac:dyDescent="0.25">
      <c r="A142" s="21"/>
      <c r="B142" s="210"/>
      <c r="C142" s="210"/>
      <c r="D142" s="210"/>
      <c r="E142" s="210"/>
      <c r="F142" s="210"/>
      <c r="G142" s="210"/>
      <c r="H142" s="210"/>
      <c r="I142" s="210"/>
      <c r="J142" s="210"/>
      <c r="K142" s="210"/>
      <c r="L142" s="210"/>
      <c r="M142" s="210"/>
      <c r="N142" s="210"/>
      <c r="O142" s="210"/>
      <c r="P142" s="214"/>
      <c r="Q142" s="210"/>
      <c r="R142" s="210"/>
      <c r="S142" s="210"/>
      <c r="T142" s="210"/>
      <c r="U142" s="210"/>
      <c r="V142" s="210"/>
      <c r="W142" s="210"/>
      <c r="X142" s="210"/>
      <c r="Y142" s="210"/>
      <c r="Z142" s="210"/>
      <c r="AA142" s="210"/>
      <c r="AC142" s="94"/>
      <c r="AD142" s="94"/>
      <c r="AE142" s="94"/>
      <c r="AF142" s="94"/>
      <c r="AG142" s="94"/>
      <c r="AH142" s="94"/>
      <c r="AI142" s="94"/>
      <c r="AJ142" s="94"/>
      <c r="AK142" s="94"/>
      <c r="AL142" s="94"/>
      <c r="AM142" s="94"/>
      <c r="AN142" s="94"/>
      <c r="AO142" s="94"/>
      <c r="AP142" s="94"/>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row>
    <row r="143" spans="1:64" s="123" customFormat="1" ht="18.75" customHeight="1" x14ac:dyDescent="0.25">
      <c r="A143" s="21"/>
      <c r="B143" s="210"/>
      <c r="C143" s="210"/>
      <c r="D143" s="210"/>
      <c r="E143" s="210"/>
      <c r="F143" s="210"/>
      <c r="G143" s="210"/>
      <c r="H143" s="210"/>
      <c r="I143" s="210"/>
      <c r="J143" s="210"/>
      <c r="K143" s="210"/>
      <c r="L143" s="210"/>
      <c r="M143" s="210"/>
      <c r="N143" s="210"/>
      <c r="O143" s="210"/>
      <c r="P143" s="214"/>
      <c r="Q143" s="210"/>
      <c r="R143" s="210"/>
      <c r="S143" s="210"/>
      <c r="T143" s="210"/>
      <c r="U143" s="210"/>
      <c r="V143" s="210"/>
      <c r="W143" s="210"/>
      <c r="X143" s="210"/>
      <c r="Y143" s="210"/>
      <c r="Z143" s="210"/>
      <c r="AA143" s="210"/>
      <c r="AC143" s="94"/>
      <c r="AD143" s="94"/>
      <c r="AE143" s="94"/>
      <c r="AF143" s="94"/>
      <c r="AG143" s="94"/>
      <c r="AH143" s="94"/>
      <c r="AI143" s="94"/>
      <c r="AJ143" s="94"/>
      <c r="AK143" s="94"/>
      <c r="AL143" s="94"/>
      <c r="AM143" s="94"/>
      <c r="AN143" s="94"/>
      <c r="AO143" s="94"/>
      <c r="AP143" s="94"/>
      <c r="AQ143" s="129"/>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row>
    <row r="144" spans="1:64" s="123" customFormat="1" ht="18.75" customHeight="1" x14ac:dyDescent="0.25">
      <c r="A144" s="21"/>
      <c r="B144" s="210"/>
      <c r="C144" s="210"/>
      <c r="D144" s="210"/>
      <c r="E144" s="210"/>
      <c r="F144" s="210"/>
      <c r="G144" s="210"/>
      <c r="H144" s="210"/>
      <c r="I144" s="210"/>
      <c r="J144" s="210"/>
      <c r="K144" s="210"/>
      <c r="L144" s="210"/>
      <c r="M144" s="210"/>
      <c r="N144" s="210"/>
      <c r="O144" s="210"/>
      <c r="P144" s="214"/>
      <c r="Q144" s="210"/>
      <c r="R144" s="210"/>
      <c r="S144" s="210"/>
      <c r="T144" s="210"/>
      <c r="U144" s="210"/>
      <c r="V144" s="210"/>
      <c r="W144" s="210"/>
      <c r="X144" s="210"/>
      <c r="Y144" s="210"/>
      <c r="Z144" s="210"/>
      <c r="AA144" s="210"/>
      <c r="AC144" s="94"/>
      <c r="AD144" s="94"/>
      <c r="AE144" s="94"/>
      <c r="AF144" s="94"/>
      <c r="AG144" s="94"/>
      <c r="AH144" s="94"/>
      <c r="AI144" s="94"/>
      <c r="AJ144" s="94"/>
      <c r="AK144" s="94"/>
      <c r="AL144" s="94"/>
      <c r="AM144" s="94"/>
      <c r="AN144" s="94"/>
      <c r="AO144" s="94"/>
      <c r="AP144" s="94"/>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row>
    <row r="145" spans="1:64" s="123" customFormat="1" ht="18.75" customHeight="1" x14ac:dyDescent="0.25">
      <c r="A145" s="21"/>
      <c r="B145" s="210"/>
      <c r="C145" s="210"/>
      <c r="D145" s="210"/>
      <c r="E145" s="210"/>
      <c r="F145" s="210"/>
      <c r="G145" s="210"/>
      <c r="H145" s="210"/>
      <c r="I145" s="210"/>
      <c r="J145" s="210"/>
      <c r="K145" s="210"/>
      <c r="L145" s="210"/>
      <c r="M145" s="210"/>
      <c r="N145" s="210"/>
      <c r="O145" s="210"/>
      <c r="P145" s="214"/>
      <c r="Q145" s="210"/>
      <c r="R145" s="210"/>
      <c r="S145" s="210"/>
      <c r="T145" s="210"/>
      <c r="U145" s="210"/>
      <c r="V145" s="210"/>
      <c r="W145" s="210"/>
      <c r="X145" s="210"/>
      <c r="Y145" s="210"/>
      <c r="Z145" s="210"/>
      <c r="AA145" s="210"/>
      <c r="AC145" s="94"/>
      <c r="AD145" s="94"/>
      <c r="AE145" s="94"/>
      <c r="AF145" s="94"/>
      <c r="AG145" s="94"/>
      <c r="AH145" s="94"/>
      <c r="AI145" s="94"/>
      <c r="AJ145" s="94"/>
      <c r="AK145" s="94"/>
      <c r="AL145" s="94"/>
      <c r="AM145" s="94"/>
      <c r="AN145" s="94"/>
      <c r="AO145" s="94"/>
      <c r="AP145" s="94"/>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row>
    <row r="146" spans="1:64" s="123" customFormat="1" ht="18.75" customHeight="1" x14ac:dyDescent="0.25">
      <c r="A146" s="21"/>
      <c r="B146" s="210"/>
      <c r="C146" s="210"/>
      <c r="D146" s="210"/>
      <c r="E146" s="210"/>
      <c r="F146" s="210"/>
      <c r="G146" s="210"/>
      <c r="H146" s="210"/>
      <c r="I146" s="210"/>
      <c r="J146" s="210"/>
      <c r="K146" s="210"/>
      <c r="L146" s="210"/>
      <c r="M146" s="210"/>
      <c r="N146" s="210"/>
      <c r="O146" s="210"/>
      <c r="P146" s="214"/>
      <c r="Q146" s="210"/>
      <c r="R146" s="210"/>
      <c r="S146" s="210"/>
      <c r="T146" s="210"/>
      <c r="U146" s="210"/>
      <c r="V146" s="210"/>
      <c r="W146" s="210"/>
      <c r="X146" s="210"/>
      <c r="Y146" s="210"/>
      <c r="Z146" s="210"/>
      <c r="AA146" s="210"/>
      <c r="AC146" s="94"/>
      <c r="AD146" s="94"/>
      <c r="AE146" s="94"/>
      <c r="AF146" s="94"/>
      <c r="AG146" s="94"/>
      <c r="AH146" s="94"/>
      <c r="AI146" s="94"/>
      <c r="AJ146" s="94"/>
      <c r="AK146" s="94"/>
      <c r="AL146" s="94"/>
      <c r="AM146" s="94"/>
      <c r="AN146" s="94"/>
      <c r="AO146" s="94"/>
      <c r="AP146" s="94"/>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row>
    <row r="147" spans="1:64" s="123" customFormat="1" ht="18.75" customHeight="1" x14ac:dyDescent="0.25">
      <c r="A147" s="21"/>
      <c r="B147" s="210"/>
      <c r="C147" s="210"/>
      <c r="D147" s="210"/>
      <c r="E147" s="210"/>
      <c r="F147" s="210"/>
      <c r="G147" s="210"/>
      <c r="H147" s="210"/>
      <c r="I147" s="210"/>
      <c r="J147" s="210"/>
      <c r="K147" s="210"/>
      <c r="L147" s="210"/>
      <c r="M147" s="210"/>
      <c r="N147" s="210"/>
      <c r="O147" s="210"/>
      <c r="P147" s="214"/>
      <c r="Q147" s="210"/>
      <c r="R147" s="210"/>
      <c r="S147" s="210"/>
      <c r="T147" s="210"/>
      <c r="U147" s="210"/>
      <c r="V147" s="210"/>
      <c r="W147" s="210"/>
      <c r="X147" s="210"/>
      <c r="Y147" s="210"/>
      <c r="Z147" s="210"/>
      <c r="AA147" s="210"/>
      <c r="AC147" s="94"/>
      <c r="AD147" s="94"/>
      <c r="AE147" s="94"/>
      <c r="AF147" s="94"/>
      <c r="AG147" s="94"/>
      <c r="AH147" s="94"/>
      <c r="AI147" s="94"/>
      <c r="AJ147" s="94"/>
      <c r="AK147" s="94"/>
      <c r="AL147" s="94"/>
      <c r="AM147" s="94"/>
      <c r="AN147" s="94"/>
      <c r="AO147" s="94"/>
      <c r="AP147" s="94"/>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row>
    <row r="148" spans="1:64" s="123" customFormat="1" ht="18.75" customHeight="1" x14ac:dyDescent="0.25">
      <c r="A148" s="21"/>
      <c r="B148" s="210"/>
      <c r="C148" s="210"/>
      <c r="D148" s="210"/>
      <c r="E148" s="210"/>
      <c r="F148" s="210"/>
      <c r="G148" s="210"/>
      <c r="H148" s="210"/>
      <c r="I148" s="210"/>
      <c r="J148" s="210"/>
      <c r="K148" s="210"/>
      <c r="L148" s="210"/>
      <c r="M148" s="210"/>
      <c r="N148" s="210"/>
      <c r="O148" s="210"/>
      <c r="P148" s="214"/>
      <c r="Q148" s="210"/>
      <c r="R148" s="210"/>
      <c r="S148" s="210"/>
      <c r="T148" s="210"/>
      <c r="U148" s="210"/>
      <c r="V148" s="210"/>
      <c r="W148" s="210"/>
      <c r="X148" s="210"/>
      <c r="Y148" s="210"/>
      <c r="Z148" s="210"/>
      <c r="AA148" s="210"/>
      <c r="AC148" s="94"/>
      <c r="AD148" s="94"/>
      <c r="AE148" s="94"/>
      <c r="AF148" s="94"/>
      <c r="AG148" s="94"/>
      <c r="AH148" s="94"/>
      <c r="AI148" s="94"/>
      <c r="AJ148" s="94"/>
      <c r="AK148" s="94"/>
      <c r="AL148" s="94"/>
      <c r="AM148" s="94"/>
      <c r="AN148" s="94"/>
      <c r="AO148" s="94"/>
      <c r="AP148" s="94"/>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row>
    <row r="149" spans="1:64" s="123" customFormat="1" ht="18.75" customHeight="1" x14ac:dyDescent="0.25">
      <c r="A149" s="21"/>
      <c r="B149" s="210"/>
      <c r="C149" s="210"/>
      <c r="D149" s="210"/>
      <c r="E149" s="210"/>
      <c r="F149" s="210"/>
      <c r="G149" s="210"/>
      <c r="H149" s="210"/>
      <c r="I149" s="210"/>
      <c r="J149" s="210"/>
      <c r="K149" s="210"/>
      <c r="L149" s="210"/>
      <c r="M149" s="210"/>
      <c r="N149" s="210"/>
      <c r="O149" s="210"/>
      <c r="P149" s="214"/>
      <c r="Q149" s="210"/>
      <c r="R149" s="210"/>
      <c r="S149" s="210"/>
      <c r="T149" s="210"/>
      <c r="U149" s="210"/>
      <c r="V149" s="210"/>
      <c r="W149" s="210"/>
      <c r="X149" s="210"/>
      <c r="Y149" s="210"/>
      <c r="Z149" s="210"/>
      <c r="AA149" s="210"/>
      <c r="AC149" s="94"/>
      <c r="AD149" s="94"/>
      <c r="AE149" s="94"/>
      <c r="AF149" s="94"/>
      <c r="AG149" s="94"/>
      <c r="AH149" s="94"/>
      <c r="AI149" s="94"/>
      <c r="AJ149" s="94"/>
      <c r="AK149" s="94"/>
      <c r="AL149" s="94"/>
      <c r="AM149" s="94"/>
      <c r="AN149" s="94"/>
      <c r="AO149" s="94"/>
      <c r="AP149" s="94"/>
      <c r="AQ149" s="129"/>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row>
    <row r="150" spans="1:64" s="123" customFormat="1" ht="18.75" customHeight="1" x14ac:dyDescent="0.25">
      <c r="A150" s="21"/>
      <c r="B150" s="210"/>
      <c r="C150" s="210"/>
      <c r="D150" s="210"/>
      <c r="E150" s="210"/>
      <c r="F150" s="210"/>
      <c r="G150" s="210"/>
      <c r="H150" s="210"/>
      <c r="I150" s="210"/>
      <c r="J150" s="210"/>
      <c r="K150" s="210"/>
      <c r="L150" s="210"/>
      <c r="M150" s="210"/>
      <c r="N150" s="210"/>
      <c r="O150" s="210"/>
      <c r="P150" s="214"/>
      <c r="Q150" s="210"/>
      <c r="R150" s="210"/>
      <c r="S150" s="210"/>
      <c r="T150" s="210"/>
      <c r="U150" s="210"/>
      <c r="V150" s="210"/>
      <c r="W150" s="210"/>
      <c r="X150" s="210"/>
      <c r="Y150" s="210"/>
      <c r="Z150" s="210"/>
      <c r="AA150" s="210"/>
      <c r="AC150" s="94"/>
      <c r="AD150" s="94"/>
      <c r="AE150" s="94"/>
      <c r="AF150" s="94"/>
      <c r="AG150" s="94"/>
      <c r="AH150" s="94"/>
      <c r="AI150" s="94"/>
      <c r="AJ150" s="94"/>
      <c r="AK150" s="94"/>
      <c r="AL150" s="94"/>
      <c r="AM150" s="94"/>
      <c r="AN150" s="94"/>
      <c r="AO150" s="94"/>
      <c r="AP150" s="94"/>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64" s="123" customFormat="1" ht="18.75" customHeight="1" x14ac:dyDescent="0.25">
      <c r="A151" s="21"/>
      <c r="B151" s="210"/>
      <c r="C151" s="210"/>
      <c r="D151" s="210"/>
      <c r="E151" s="210"/>
      <c r="F151" s="210"/>
      <c r="G151" s="210"/>
      <c r="H151" s="210"/>
      <c r="I151" s="210"/>
      <c r="J151" s="210"/>
      <c r="K151" s="210"/>
      <c r="L151" s="210"/>
      <c r="M151" s="210"/>
      <c r="N151" s="210"/>
      <c r="O151" s="210"/>
      <c r="P151" s="214"/>
      <c r="Q151" s="210"/>
      <c r="R151" s="210"/>
      <c r="S151" s="210"/>
      <c r="T151" s="210"/>
      <c r="U151" s="210"/>
      <c r="V151" s="210"/>
      <c r="W151" s="210"/>
      <c r="X151" s="210"/>
      <c r="Y151" s="210"/>
      <c r="Z151" s="210"/>
      <c r="AA151" s="210"/>
      <c r="AC151" s="94"/>
      <c r="AD151" s="94"/>
      <c r="AE151" s="94"/>
      <c r="AF151" s="94"/>
      <c r="AG151" s="94"/>
      <c r="AH151" s="94"/>
      <c r="AI151" s="94"/>
      <c r="AJ151" s="94"/>
      <c r="AK151" s="94"/>
      <c r="AL151" s="94"/>
      <c r="AM151" s="94"/>
      <c r="AN151" s="94"/>
      <c r="AO151" s="94"/>
      <c r="AP151" s="94"/>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row>
    <row r="152" spans="1:64" s="123" customFormat="1" ht="18.75" customHeight="1" x14ac:dyDescent="0.25">
      <c r="A152" s="21"/>
      <c r="B152" s="210"/>
      <c r="C152" s="210"/>
      <c r="D152" s="210"/>
      <c r="E152" s="210"/>
      <c r="F152" s="210"/>
      <c r="G152" s="210"/>
      <c r="H152" s="210"/>
      <c r="I152" s="210"/>
      <c r="J152" s="210"/>
      <c r="K152" s="210"/>
      <c r="L152" s="210"/>
      <c r="M152" s="210"/>
      <c r="N152" s="210"/>
      <c r="O152" s="210"/>
      <c r="P152" s="214"/>
      <c r="Q152" s="210"/>
      <c r="R152" s="210"/>
      <c r="S152" s="210"/>
      <c r="T152" s="210"/>
      <c r="U152" s="210"/>
      <c r="V152" s="210"/>
      <c r="W152" s="210"/>
      <c r="X152" s="210"/>
      <c r="Y152" s="210"/>
      <c r="Z152" s="210"/>
      <c r="AA152" s="210"/>
      <c r="AC152" s="94"/>
      <c r="AD152" s="94"/>
      <c r="AE152" s="94"/>
      <c r="AF152" s="94"/>
      <c r="AG152" s="94"/>
      <c r="AH152" s="94"/>
      <c r="AI152" s="94"/>
      <c r="AJ152" s="94"/>
      <c r="AK152" s="94"/>
      <c r="AL152" s="94"/>
      <c r="AM152" s="94"/>
      <c r="AN152" s="94"/>
      <c r="AO152" s="94"/>
      <c r="AP152" s="94"/>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row>
    <row r="153" spans="1:64" s="123" customFormat="1" ht="18.75" customHeight="1" x14ac:dyDescent="0.25">
      <c r="A153" s="21"/>
      <c r="B153" s="210"/>
      <c r="C153" s="210"/>
      <c r="D153" s="210"/>
      <c r="E153" s="210"/>
      <c r="F153" s="210"/>
      <c r="G153" s="210"/>
      <c r="H153" s="210"/>
      <c r="I153" s="210"/>
      <c r="J153" s="210"/>
      <c r="K153" s="210"/>
      <c r="L153" s="210"/>
      <c r="M153" s="210"/>
      <c r="N153" s="210"/>
      <c r="O153" s="210"/>
      <c r="P153" s="214"/>
      <c r="Q153" s="210"/>
      <c r="R153" s="210"/>
      <c r="S153" s="210"/>
      <c r="T153" s="210"/>
      <c r="U153" s="210"/>
      <c r="V153" s="210"/>
      <c r="W153" s="210"/>
      <c r="X153" s="210"/>
      <c r="Y153" s="210"/>
      <c r="Z153" s="210"/>
      <c r="AA153" s="210"/>
      <c r="AC153" s="94"/>
      <c r="AD153" s="94"/>
      <c r="AE153" s="94"/>
      <c r="AF153" s="94"/>
      <c r="AG153" s="94"/>
      <c r="AH153" s="94"/>
      <c r="AI153" s="94"/>
      <c r="AJ153" s="94"/>
      <c r="AK153" s="94"/>
      <c r="AL153" s="94"/>
      <c r="AM153" s="94"/>
      <c r="AN153" s="94"/>
      <c r="AO153" s="94"/>
      <c r="AP153" s="94"/>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row>
    <row r="154" spans="1:64" s="123" customFormat="1" ht="18.75" customHeight="1" x14ac:dyDescent="0.25">
      <c r="A154" s="21"/>
      <c r="B154" s="210"/>
      <c r="C154" s="210"/>
      <c r="D154" s="210"/>
      <c r="E154" s="210"/>
      <c r="F154" s="210"/>
      <c r="G154" s="210"/>
      <c r="H154" s="210"/>
      <c r="I154" s="210"/>
      <c r="J154" s="210"/>
      <c r="K154" s="210"/>
      <c r="L154" s="210"/>
      <c r="M154" s="210"/>
      <c r="N154" s="210"/>
      <c r="O154" s="210"/>
      <c r="P154" s="214"/>
      <c r="Q154" s="210"/>
      <c r="R154" s="210"/>
      <c r="S154" s="210"/>
      <c r="T154" s="210"/>
      <c r="U154" s="210"/>
      <c r="V154" s="210"/>
      <c r="W154" s="210"/>
      <c r="X154" s="210"/>
      <c r="Y154" s="210"/>
      <c r="Z154" s="210"/>
      <c r="AA154" s="210"/>
      <c r="AC154" s="94"/>
      <c r="AD154" s="94"/>
      <c r="AE154" s="94"/>
      <c r="AF154" s="94"/>
      <c r="AG154" s="94"/>
      <c r="AH154" s="94"/>
      <c r="AI154" s="94"/>
      <c r="AJ154" s="94"/>
      <c r="AK154" s="94"/>
      <c r="AL154" s="94"/>
      <c r="AM154" s="94"/>
      <c r="AN154" s="94"/>
      <c r="AO154" s="94"/>
      <c r="AP154" s="94"/>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row>
    <row r="155" spans="1:64" s="123" customFormat="1" ht="18.75" customHeight="1" x14ac:dyDescent="0.25">
      <c r="A155" s="21"/>
      <c r="B155" s="210"/>
      <c r="C155" s="210"/>
      <c r="D155" s="210"/>
      <c r="E155" s="210"/>
      <c r="F155" s="210"/>
      <c r="G155" s="210"/>
      <c r="H155" s="210"/>
      <c r="I155" s="210"/>
      <c r="J155" s="210"/>
      <c r="K155" s="210"/>
      <c r="L155" s="210"/>
      <c r="M155" s="210"/>
      <c r="N155" s="210"/>
      <c r="O155" s="210"/>
      <c r="P155" s="214"/>
      <c r="Q155" s="210"/>
      <c r="R155" s="210"/>
      <c r="S155" s="210"/>
      <c r="T155" s="210"/>
      <c r="U155" s="210"/>
      <c r="V155" s="210"/>
      <c r="W155" s="210"/>
      <c r="X155" s="210"/>
      <c r="Y155" s="210"/>
      <c r="Z155" s="210"/>
      <c r="AA155" s="210"/>
      <c r="AC155" s="94"/>
      <c r="AD155" s="94"/>
      <c r="AE155" s="94"/>
      <c r="AF155" s="94"/>
      <c r="AG155" s="94"/>
      <c r="AH155" s="94"/>
      <c r="AI155" s="94"/>
      <c r="AJ155" s="94"/>
      <c r="AK155" s="94"/>
      <c r="AL155" s="94"/>
      <c r="AM155" s="94"/>
      <c r="AN155" s="94"/>
      <c r="AO155" s="94"/>
      <c r="AP155" s="94"/>
      <c r="AQ155" s="129"/>
      <c r="AR155" s="129"/>
      <c r="AS155" s="129"/>
      <c r="AT155" s="129"/>
      <c r="AU155" s="129"/>
      <c r="AV155" s="129"/>
      <c r="AW155" s="129"/>
      <c r="AX155" s="129"/>
      <c r="AY155" s="129"/>
      <c r="AZ155" s="129"/>
      <c r="BA155" s="129"/>
      <c r="BB155" s="129"/>
      <c r="BC155" s="129"/>
      <c r="BD155" s="129"/>
      <c r="BE155" s="129"/>
      <c r="BF155" s="129"/>
      <c r="BG155" s="129"/>
      <c r="BH155" s="129"/>
      <c r="BI155" s="129"/>
      <c r="BJ155" s="129"/>
      <c r="BK155" s="129"/>
      <c r="BL155" s="129"/>
    </row>
    <row r="156" spans="1:64" s="123" customFormat="1" ht="18.75" customHeight="1" x14ac:dyDescent="0.25">
      <c r="A156" s="21"/>
      <c r="B156" s="210"/>
      <c r="C156" s="210"/>
      <c r="D156" s="210"/>
      <c r="E156" s="210"/>
      <c r="F156" s="210"/>
      <c r="G156" s="210"/>
      <c r="H156" s="210"/>
      <c r="I156" s="210"/>
      <c r="J156" s="210"/>
      <c r="K156" s="210"/>
      <c r="L156" s="210"/>
      <c r="M156" s="210"/>
      <c r="N156" s="210"/>
      <c r="O156" s="210"/>
      <c r="P156" s="214"/>
      <c r="Q156" s="210"/>
      <c r="R156" s="210"/>
      <c r="S156" s="210"/>
      <c r="T156" s="210"/>
      <c r="U156" s="210"/>
      <c r="V156" s="210"/>
      <c r="W156" s="210"/>
      <c r="X156" s="210"/>
      <c r="Y156" s="210"/>
      <c r="Z156" s="210"/>
      <c r="AA156" s="210"/>
      <c r="AC156" s="94"/>
      <c r="AD156" s="94"/>
      <c r="AE156" s="94"/>
      <c r="AF156" s="94"/>
      <c r="AG156" s="94"/>
      <c r="AH156" s="94"/>
      <c r="AI156" s="94"/>
      <c r="AJ156" s="94"/>
      <c r="AK156" s="94"/>
      <c r="AL156" s="94"/>
      <c r="AM156" s="94"/>
      <c r="AN156" s="94"/>
      <c r="AO156" s="94"/>
      <c r="AP156" s="94"/>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64" s="123" customFormat="1" ht="18.75" customHeight="1" x14ac:dyDescent="0.25">
      <c r="A157" s="21"/>
      <c r="B157" s="210"/>
      <c r="C157" s="210"/>
      <c r="D157" s="210"/>
      <c r="E157" s="210"/>
      <c r="F157" s="210"/>
      <c r="G157" s="210"/>
      <c r="H157" s="210"/>
      <c r="I157" s="210"/>
      <c r="J157" s="210"/>
      <c r="K157" s="210"/>
      <c r="L157" s="210"/>
      <c r="M157" s="210"/>
      <c r="N157" s="210"/>
      <c r="O157" s="210"/>
      <c r="P157" s="214"/>
      <c r="Q157" s="210"/>
      <c r="R157" s="210"/>
      <c r="S157" s="210"/>
      <c r="T157" s="210"/>
      <c r="U157" s="210"/>
      <c r="V157" s="210"/>
      <c r="W157" s="210"/>
      <c r="X157" s="210"/>
      <c r="Y157" s="210"/>
      <c r="Z157" s="210"/>
      <c r="AA157" s="210"/>
      <c r="AC157" s="94"/>
      <c r="AD157" s="94"/>
      <c r="AE157" s="94"/>
      <c r="AF157" s="94"/>
      <c r="AG157" s="94"/>
      <c r="AH157" s="94"/>
      <c r="AI157" s="94"/>
      <c r="AJ157" s="94"/>
      <c r="AK157" s="94"/>
      <c r="AL157" s="94"/>
      <c r="AM157" s="94"/>
      <c r="AN157" s="94"/>
      <c r="AO157" s="94"/>
      <c r="AP157" s="94"/>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row>
    <row r="158" spans="1:64" s="123" customFormat="1" ht="18.75" customHeight="1" x14ac:dyDescent="0.25">
      <c r="A158" s="21"/>
      <c r="B158" s="210"/>
      <c r="C158" s="210"/>
      <c r="D158" s="210"/>
      <c r="E158" s="210"/>
      <c r="F158" s="210"/>
      <c r="G158" s="210"/>
      <c r="H158" s="210"/>
      <c r="I158" s="210"/>
      <c r="J158" s="210"/>
      <c r="K158" s="210"/>
      <c r="L158" s="210"/>
      <c r="M158" s="210"/>
      <c r="N158" s="210"/>
      <c r="O158" s="210"/>
      <c r="P158" s="214"/>
      <c r="Q158" s="210"/>
      <c r="R158" s="210"/>
      <c r="S158" s="210"/>
      <c r="T158" s="210"/>
      <c r="U158" s="210"/>
      <c r="V158" s="210"/>
      <c r="W158" s="210"/>
      <c r="X158" s="210"/>
      <c r="Y158" s="210"/>
      <c r="Z158" s="210"/>
      <c r="AA158" s="210"/>
      <c r="AC158" s="94"/>
      <c r="AD158" s="94"/>
      <c r="AE158" s="94"/>
      <c r="AF158" s="94"/>
      <c r="AG158" s="94"/>
      <c r="AH158" s="94"/>
      <c r="AI158" s="94"/>
      <c r="AJ158" s="94"/>
      <c r="AK158" s="94"/>
      <c r="AL158" s="94"/>
      <c r="AM158" s="94"/>
      <c r="AN158" s="94"/>
      <c r="AO158" s="94"/>
      <c r="AP158" s="94"/>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row>
    <row r="159" spans="1:64" s="123" customFormat="1" ht="18.75" customHeight="1" x14ac:dyDescent="0.25">
      <c r="A159" s="21"/>
      <c r="B159" s="210"/>
      <c r="C159" s="210"/>
      <c r="D159" s="210"/>
      <c r="E159" s="210"/>
      <c r="F159" s="210"/>
      <c r="G159" s="210"/>
      <c r="H159" s="210"/>
      <c r="I159" s="210"/>
      <c r="J159" s="210"/>
      <c r="K159" s="210"/>
      <c r="L159" s="210"/>
      <c r="M159" s="210"/>
      <c r="N159" s="210"/>
      <c r="O159" s="210"/>
      <c r="P159" s="214"/>
      <c r="Q159" s="210"/>
      <c r="R159" s="210"/>
      <c r="S159" s="210"/>
      <c r="T159" s="210"/>
      <c r="U159" s="210"/>
      <c r="V159" s="210"/>
      <c r="W159" s="210"/>
      <c r="X159" s="210"/>
      <c r="Y159" s="210"/>
      <c r="Z159" s="210"/>
      <c r="AA159" s="210"/>
      <c r="AC159" s="94"/>
      <c r="AD159" s="94"/>
      <c r="AE159" s="94"/>
      <c r="AF159" s="94"/>
      <c r="AG159" s="94"/>
      <c r="AH159" s="94"/>
      <c r="AI159" s="94"/>
      <c r="AJ159" s="94"/>
      <c r="AK159" s="94"/>
      <c r="AL159" s="94"/>
      <c r="AM159" s="94"/>
      <c r="AN159" s="94"/>
      <c r="AO159" s="94"/>
      <c r="AP159" s="94"/>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row>
    <row r="160" spans="1:64" s="123" customFormat="1" ht="18.75" customHeight="1" x14ac:dyDescent="0.25">
      <c r="A160" s="21"/>
      <c r="B160" s="210"/>
      <c r="C160" s="210"/>
      <c r="D160" s="210"/>
      <c r="E160" s="210"/>
      <c r="F160" s="210"/>
      <c r="G160" s="210"/>
      <c r="H160" s="210"/>
      <c r="I160" s="210"/>
      <c r="J160" s="210"/>
      <c r="K160" s="210"/>
      <c r="L160" s="210"/>
      <c r="M160" s="210"/>
      <c r="N160" s="210"/>
      <c r="O160" s="210"/>
      <c r="P160" s="214"/>
      <c r="Q160" s="210"/>
      <c r="R160" s="210"/>
      <c r="S160" s="210"/>
      <c r="T160" s="210"/>
      <c r="U160" s="210"/>
      <c r="V160" s="210"/>
      <c r="W160" s="210"/>
      <c r="X160" s="210"/>
      <c r="Y160" s="210"/>
      <c r="Z160" s="210"/>
      <c r="AA160" s="210"/>
      <c r="AC160" s="94"/>
      <c r="AD160" s="94"/>
      <c r="AE160" s="94"/>
      <c r="AF160" s="94"/>
      <c r="AG160" s="94"/>
      <c r="AH160" s="94"/>
      <c r="AI160" s="94"/>
      <c r="AJ160" s="94"/>
      <c r="AK160" s="94"/>
      <c r="AL160" s="94"/>
      <c r="AM160" s="94"/>
      <c r="AN160" s="94"/>
      <c r="AO160" s="94"/>
      <c r="AP160" s="94"/>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64" s="123" customFormat="1" ht="18.75" customHeight="1" x14ac:dyDescent="0.25">
      <c r="A161" s="21"/>
      <c r="B161" s="210"/>
      <c r="C161" s="210"/>
      <c r="D161" s="210"/>
      <c r="E161" s="210"/>
      <c r="F161" s="210"/>
      <c r="G161" s="210"/>
      <c r="H161" s="210"/>
      <c r="I161" s="210"/>
      <c r="J161" s="210"/>
      <c r="K161" s="210"/>
      <c r="L161" s="210"/>
      <c r="M161" s="210"/>
      <c r="N161" s="210"/>
      <c r="O161" s="210"/>
      <c r="P161" s="214"/>
      <c r="Q161" s="210"/>
      <c r="R161" s="210"/>
      <c r="S161" s="210"/>
      <c r="T161" s="210"/>
      <c r="U161" s="210"/>
      <c r="V161" s="210"/>
      <c r="W161" s="210"/>
      <c r="X161" s="210"/>
      <c r="Y161" s="210"/>
      <c r="Z161" s="210"/>
      <c r="AA161" s="210"/>
      <c r="AC161" s="94"/>
      <c r="AD161" s="94"/>
      <c r="AE161" s="94"/>
      <c r="AF161" s="94"/>
      <c r="AG161" s="94"/>
      <c r="AH161" s="94"/>
      <c r="AI161" s="94"/>
      <c r="AJ161" s="94"/>
      <c r="AK161" s="94"/>
      <c r="AL161" s="94"/>
      <c r="AM161" s="94"/>
      <c r="AN161" s="94"/>
      <c r="AO161" s="94"/>
      <c r="AP161" s="94"/>
      <c r="AQ161" s="129"/>
      <c r="AR161" s="129"/>
      <c r="AS161" s="129"/>
      <c r="AT161" s="129"/>
      <c r="AU161" s="129"/>
      <c r="AV161" s="129"/>
      <c r="AW161" s="129"/>
      <c r="AX161" s="129"/>
      <c r="AY161" s="129"/>
      <c r="AZ161" s="129"/>
      <c r="BA161" s="129"/>
      <c r="BB161" s="129"/>
      <c r="BC161" s="129"/>
      <c r="BD161" s="129"/>
      <c r="BE161" s="129"/>
      <c r="BF161" s="129"/>
      <c r="BG161" s="129"/>
      <c r="BH161" s="129"/>
      <c r="BI161" s="129"/>
      <c r="BJ161" s="129"/>
      <c r="BK161" s="129"/>
      <c r="BL161" s="129"/>
    </row>
    <row r="162" spans="1:64" s="123" customFormat="1" ht="18.75" customHeight="1" x14ac:dyDescent="0.25">
      <c r="A162" s="21"/>
      <c r="B162" s="210"/>
      <c r="C162" s="210"/>
      <c r="D162" s="210"/>
      <c r="E162" s="210"/>
      <c r="F162" s="210"/>
      <c r="G162" s="210"/>
      <c r="H162" s="210"/>
      <c r="I162" s="210"/>
      <c r="J162" s="210"/>
      <c r="K162" s="210"/>
      <c r="L162" s="210"/>
      <c r="M162" s="210"/>
      <c r="N162" s="210"/>
      <c r="O162" s="210"/>
      <c r="P162" s="214"/>
      <c r="Q162" s="210"/>
      <c r="R162" s="210"/>
      <c r="S162" s="210"/>
      <c r="T162" s="210"/>
      <c r="U162" s="210"/>
      <c r="V162" s="210"/>
      <c r="W162" s="210"/>
      <c r="X162" s="210"/>
      <c r="Y162" s="210"/>
      <c r="Z162" s="210"/>
      <c r="AA162" s="210"/>
      <c r="AC162" s="94"/>
      <c r="AD162" s="94"/>
      <c r="AE162" s="94"/>
      <c r="AF162" s="94"/>
      <c r="AG162" s="94"/>
      <c r="AH162" s="94"/>
      <c r="AI162" s="94"/>
      <c r="AJ162" s="94"/>
      <c r="AK162" s="94"/>
      <c r="AL162" s="94"/>
      <c r="AM162" s="94"/>
      <c r="AN162" s="94"/>
      <c r="AO162" s="94"/>
      <c r="AP162" s="94"/>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row>
    <row r="163" spans="1:64" s="123" customFormat="1" ht="18.75" customHeight="1" x14ac:dyDescent="0.25">
      <c r="A163" s="21"/>
      <c r="B163" s="210"/>
      <c r="C163" s="210"/>
      <c r="D163" s="210"/>
      <c r="E163" s="210"/>
      <c r="F163" s="210"/>
      <c r="G163" s="210"/>
      <c r="H163" s="210"/>
      <c r="I163" s="210"/>
      <c r="J163" s="210"/>
      <c r="K163" s="210"/>
      <c r="L163" s="210"/>
      <c r="M163" s="210"/>
      <c r="N163" s="210"/>
      <c r="O163" s="210"/>
      <c r="P163" s="214"/>
      <c r="Q163" s="210"/>
      <c r="R163" s="210"/>
      <c r="S163" s="210"/>
      <c r="T163" s="210"/>
      <c r="U163" s="210"/>
      <c r="V163" s="210"/>
      <c r="W163" s="210"/>
      <c r="X163" s="210"/>
      <c r="Y163" s="210"/>
      <c r="Z163" s="210"/>
      <c r="AA163" s="210"/>
      <c r="AC163" s="94"/>
      <c r="AD163" s="94"/>
      <c r="AE163" s="94"/>
      <c r="AF163" s="94"/>
      <c r="AG163" s="94"/>
      <c r="AH163" s="94"/>
      <c r="AI163" s="94"/>
      <c r="AJ163" s="94"/>
      <c r="AK163" s="94"/>
      <c r="AL163" s="94"/>
      <c r="AM163" s="94"/>
      <c r="AN163" s="94"/>
      <c r="AO163" s="94"/>
      <c r="AP163" s="94"/>
      <c r="AQ163" s="129"/>
      <c r="AR163" s="129"/>
      <c r="AS163" s="129"/>
      <c r="AT163" s="129"/>
      <c r="AU163" s="129"/>
      <c r="AV163" s="129"/>
      <c r="AW163" s="129"/>
      <c r="AX163" s="129"/>
      <c r="AY163" s="129"/>
      <c r="AZ163" s="129"/>
      <c r="BA163" s="129"/>
      <c r="BB163" s="129"/>
      <c r="BC163" s="129"/>
      <c r="BD163" s="129"/>
      <c r="BE163" s="129"/>
      <c r="BF163" s="129"/>
      <c r="BG163" s="129"/>
      <c r="BH163" s="129"/>
      <c r="BI163" s="129"/>
      <c r="BJ163" s="129"/>
      <c r="BK163" s="129"/>
      <c r="BL163" s="129"/>
    </row>
    <row r="164" spans="1:64" s="123" customFormat="1" ht="18.75" customHeight="1" x14ac:dyDescent="0.25">
      <c r="A164" s="21"/>
      <c r="B164" s="210"/>
      <c r="C164" s="210"/>
      <c r="D164" s="210"/>
      <c r="E164" s="210"/>
      <c r="F164" s="210"/>
      <c r="G164" s="210"/>
      <c r="H164" s="210"/>
      <c r="I164" s="210"/>
      <c r="J164" s="210"/>
      <c r="K164" s="210"/>
      <c r="L164" s="210"/>
      <c r="M164" s="210"/>
      <c r="N164" s="210"/>
      <c r="O164" s="210"/>
      <c r="P164" s="214"/>
      <c r="Q164" s="210"/>
      <c r="R164" s="210"/>
      <c r="S164" s="210"/>
      <c r="T164" s="210"/>
      <c r="U164" s="210"/>
      <c r="V164" s="210"/>
      <c r="W164" s="210"/>
      <c r="X164" s="210"/>
      <c r="Y164" s="210"/>
      <c r="Z164" s="210"/>
      <c r="AA164" s="210"/>
      <c r="AC164" s="94"/>
      <c r="AD164" s="94"/>
      <c r="AE164" s="94"/>
      <c r="AF164" s="94"/>
      <c r="AG164" s="94"/>
      <c r="AH164" s="94"/>
      <c r="AI164" s="94"/>
      <c r="AJ164" s="94"/>
      <c r="AK164" s="94"/>
      <c r="AL164" s="94"/>
      <c r="AM164" s="94"/>
      <c r="AN164" s="94"/>
      <c r="AO164" s="94"/>
      <c r="AP164" s="94"/>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row>
    <row r="165" spans="1:64" s="123" customFormat="1" ht="18.75" customHeight="1" x14ac:dyDescent="0.25">
      <c r="A165" s="21"/>
      <c r="B165" s="210"/>
      <c r="C165" s="210"/>
      <c r="D165" s="210"/>
      <c r="E165" s="210"/>
      <c r="F165" s="210"/>
      <c r="G165" s="210"/>
      <c r="H165" s="210"/>
      <c r="I165" s="210"/>
      <c r="J165" s="210"/>
      <c r="K165" s="210"/>
      <c r="L165" s="210"/>
      <c r="M165" s="210"/>
      <c r="N165" s="210"/>
      <c r="O165" s="210"/>
      <c r="P165" s="214"/>
      <c r="Q165" s="210"/>
      <c r="R165" s="210"/>
      <c r="S165" s="210"/>
      <c r="T165" s="210"/>
      <c r="U165" s="210"/>
      <c r="V165" s="210"/>
      <c r="W165" s="210"/>
      <c r="X165" s="210"/>
      <c r="Y165" s="210"/>
      <c r="Z165" s="210"/>
      <c r="AA165" s="210"/>
      <c r="AC165" s="94"/>
      <c r="AD165" s="94"/>
      <c r="AE165" s="94"/>
      <c r="AF165" s="94"/>
      <c r="AG165" s="94"/>
      <c r="AH165" s="94"/>
      <c r="AI165" s="94"/>
      <c r="AJ165" s="94"/>
      <c r="AK165" s="94"/>
      <c r="AL165" s="94"/>
      <c r="AM165" s="94"/>
      <c r="AN165" s="94"/>
      <c r="AO165" s="94"/>
      <c r="AP165" s="94"/>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29"/>
    </row>
    <row r="166" spans="1:64" s="123" customFormat="1" ht="18.75" customHeight="1" x14ac:dyDescent="0.25">
      <c r="A166" s="21"/>
      <c r="B166" s="210"/>
      <c r="C166" s="210"/>
      <c r="D166" s="210"/>
      <c r="E166" s="210"/>
      <c r="F166" s="210"/>
      <c r="G166" s="210"/>
      <c r="H166" s="210"/>
      <c r="I166" s="210"/>
      <c r="J166" s="210"/>
      <c r="K166" s="210"/>
      <c r="L166" s="210"/>
      <c r="M166" s="210"/>
      <c r="N166" s="210"/>
      <c r="O166" s="210"/>
      <c r="P166" s="214"/>
      <c r="Q166" s="210"/>
      <c r="R166" s="210"/>
      <c r="S166" s="210"/>
      <c r="T166" s="210"/>
      <c r="U166" s="210"/>
      <c r="V166" s="210"/>
      <c r="W166" s="210"/>
      <c r="X166" s="210"/>
      <c r="Y166" s="210"/>
      <c r="Z166" s="210"/>
      <c r="AA166" s="210"/>
      <c r="AC166" s="94"/>
      <c r="AD166" s="94"/>
      <c r="AE166" s="94"/>
      <c r="AF166" s="94"/>
      <c r="AG166" s="94"/>
      <c r="AH166" s="94"/>
      <c r="AI166" s="94"/>
      <c r="AJ166" s="94"/>
      <c r="AK166" s="94"/>
      <c r="AL166" s="94"/>
      <c r="AM166" s="94"/>
      <c r="AN166" s="94"/>
      <c r="AO166" s="94"/>
      <c r="AP166" s="94"/>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64" s="123" customFormat="1" ht="18.75" customHeight="1" x14ac:dyDescent="0.25">
      <c r="A167" s="21"/>
      <c r="B167" s="210"/>
      <c r="C167" s="210"/>
      <c r="D167" s="210"/>
      <c r="E167" s="210"/>
      <c r="F167" s="210"/>
      <c r="G167" s="210"/>
      <c r="H167" s="210"/>
      <c r="I167" s="210"/>
      <c r="J167" s="210"/>
      <c r="K167" s="210"/>
      <c r="L167" s="210"/>
      <c r="M167" s="210"/>
      <c r="N167" s="210"/>
      <c r="O167" s="210"/>
      <c r="P167" s="214"/>
      <c r="Q167" s="210"/>
      <c r="R167" s="210"/>
      <c r="S167" s="210"/>
      <c r="T167" s="210"/>
      <c r="U167" s="210"/>
      <c r="V167" s="210"/>
      <c r="W167" s="210"/>
      <c r="X167" s="210"/>
      <c r="Y167" s="210"/>
      <c r="Z167" s="210"/>
      <c r="AA167" s="210"/>
      <c r="AC167" s="94"/>
      <c r="AD167" s="94"/>
      <c r="AE167" s="94"/>
      <c r="AF167" s="94"/>
      <c r="AG167" s="94"/>
      <c r="AH167" s="94"/>
      <c r="AI167" s="94"/>
      <c r="AJ167" s="94"/>
      <c r="AK167" s="94"/>
      <c r="AL167" s="94"/>
      <c r="AM167" s="94"/>
      <c r="AN167" s="94"/>
      <c r="AO167" s="94"/>
      <c r="AP167" s="94"/>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row>
    <row r="168" spans="1:64" s="123" customFormat="1" ht="18.75" customHeight="1" x14ac:dyDescent="0.25">
      <c r="A168" s="21"/>
      <c r="B168" s="210"/>
      <c r="C168" s="210"/>
      <c r="D168" s="210"/>
      <c r="E168" s="210"/>
      <c r="F168" s="210"/>
      <c r="G168" s="210"/>
      <c r="H168" s="210"/>
      <c r="I168" s="210"/>
      <c r="J168" s="210"/>
      <c r="K168" s="210"/>
      <c r="L168" s="210"/>
      <c r="M168" s="210"/>
      <c r="N168" s="210"/>
      <c r="O168" s="210"/>
      <c r="P168" s="214"/>
      <c r="Q168" s="210"/>
      <c r="R168" s="210"/>
      <c r="S168" s="210"/>
      <c r="T168" s="210"/>
      <c r="U168" s="210"/>
      <c r="V168" s="210"/>
      <c r="W168" s="210"/>
      <c r="X168" s="210"/>
      <c r="Y168" s="210"/>
      <c r="Z168" s="210"/>
      <c r="AA168" s="210"/>
      <c r="AC168" s="94"/>
      <c r="AD168" s="94"/>
      <c r="AE168" s="94"/>
      <c r="AF168" s="94"/>
      <c r="AG168" s="94"/>
      <c r="AH168" s="94"/>
      <c r="AI168" s="94"/>
      <c r="AJ168" s="94"/>
      <c r="AK168" s="94"/>
      <c r="AL168" s="94"/>
      <c r="AM168" s="94"/>
      <c r="AN168" s="94"/>
      <c r="AO168" s="94"/>
      <c r="AP168" s="94"/>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row>
    <row r="169" spans="1:64" s="123" customFormat="1" ht="18.75" customHeight="1" x14ac:dyDescent="0.25">
      <c r="A169" s="21"/>
      <c r="B169" s="210"/>
      <c r="C169" s="210"/>
      <c r="D169" s="210"/>
      <c r="E169" s="210"/>
      <c r="F169" s="210"/>
      <c r="G169" s="210"/>
      <c r="H169" s="210"/>
      <c r="I169" s="210"/>
      <c r="J169" s="210"/>
      <c r="K169" s="210"/>
      <c r="L169" s="210"/>
      <c r="M169" s="210"/>
      <c r="N169" s="210"/>
      <c r="O169" s="210"/>
      <c r="P169" s="214"/>
      <c r="Q169" s="210"/>
      <c r="R169" s="210"/>
      <c r="S169" s="210"/>
      <c r="T169" s="210"/>
      <c r="U169" s="210"/>
      <c r="V169" s="210"/>
      <c r="W169" s="210"/>
      <c r="X169" s="210"/>
      <c r="Y169" s="210"/>
      <c r="Z169" s="210"/>
      <c r="AA169" s="210"/>
      <c r="AC169" s="94"/>
      <c r="AD169" s="94"/>
      <c r="AE169" s="94"/>
      <c r="AF169" s="94"/>
      <c r="AG169" s="94"/>
      <c r="AH169" s="94"/>
      <c r="AI169" s="94"/>
      <c r="AJ169" s="94"/>
      <c r="AK169" s="94"/>
      <c r="AL169" s="94"/>
      <c r="AM169" s="94"/>
      <c r="AN169" s="94"/>
      <c r="AO169" s="94"/>
      <c r="AP169" s="94"/>
      <c r="AQ169" s="129"/>
      <c r="AR169" s="129"/>
      <c r="AS169" s="129"/>
      <c r="AT169" s="129"/>
      <c r="AU169" s="129"/>
      <c r="AV169" s="129"/>
      <c r="AW169" s="129"/>
      <c r="AX169" s="129"/>
      <c r="AY169" s="129"/>
      <c r="AZ169" s="129"/>
      <c r="BA169" s="129"/>
      <c r="BB169" s="129"/>
      <c r="BC169" s="129"/>
      <c r="BD169" s="129"/>
      <c r="BE169" s="129"/>
      <c r="BF169" s="129"/>
      <c r="BG169" s="129"/>
      <c r="BH169" s="129"/>
      <c r="BI169" s="129"/>
      <c r="BJ169" s="129"/>
      <c r="BK169" s="129"/>
      <c r="BL169" s="129"/>
    </row>
    <row r="170" spans="1:64" s="123" customFormat="1" ht="18.75" customHeight="1" x14ac:dyDescent="0.25">
      <c r="A170" s="21"/>
      <c r="B170" s="210"/>
      <c r="C170" s="210"/>
      <c r="D170" s="210"/>
      <c r="E170" s="210"/>
      <c r="F170" s="210"/>
      <c r="G170" s="210"/>
      <c r="H170" s="210"/>
      <c r="I170" s="210"/>
      <c r="J170" s="210"/>
      <c r="K170" s="210"/>
      <c r="L170" s="210"/>
      <c r="M170" s="210"/>
      <c r="N170" s="210"/>
      <c r="O170" s="210"/>
      <c r="P170" s="214"/>
      <c r="Q170" s="210"/>
      <c r="R170" s="210"/>
      <c r="S170" s="210"/>
      <c r="T170" s="210"/>
      <c r="U170" s="210"/>
      <c r="V170" s="210"/>
      <c r="W170" s="210"/>
      <c r="X170" s="210"/>
      <c r="Y170" s="210"/>
      <c r="Z170" s="210"/>
      <c r="AA170" s="210"/>
      <c r="AC170" s="94"/>
      <c r="AD170" s="94"/>
      <c r="AE170" s="94"/>
      <c r="AF170" s="94"/>
      <c r="AG170" s="94"/>
      <c r="AH170" s="94"/>
      <c r="AI170" s="94"/>
      <c r="AJ170" s="94"/>
      <c r="AK170" s="94"/>
      <c r="AL170" s="94"/>
      <c r="AM170" s="94"/>
      <c r="AN170" s="94"/>
      <c r="AO170" s="94"/>
      <c r="AP170" s="94"/>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64" s="123" customFormat="1" ht="18.75" customHeight="1" x14ac:dyDescent="0.25">
      <c r="A171" s="21"/>
      <c r="B171" s="210"/>
      <c r="C171" s="210"/>
      <c r="D171" s="210"/>
      <c r="E171" s="210"/>
      <c r="F171" s="210"/>
      <c r="G171" s="210"/>
      <c r="H171" s="210"/>
      <c r="I171" s="210"/>
      <c r="J171" s="210"/>
      <c r="K171" s="210"/>
      <c r="L171" s="210"/>
      <c r="M171" s="210"/>
      <c r="N171" s="210"/>
      <c r="O171" s="210"/>
      <c r="P171" s="214"/>
      <c r="Q171" s="210"/>
      <c r="R171" s="210"/>
      <c r="S171" s="210"/>
      <c r="T171" s="210"/>
      <c r="U171" s="210"/>
      <c r="V171" s="210"/>
      <c r="W171" s="210"/>
      <c r="X171" s="210"/>
      <c r="Y171" s="210"/>
      <c r="Z171" s="210"/>
      <c r="AA171" s="210"/>
      <c r="AC171" s="94"/>
      <c r="AD171" s="94"/>
      <c r="AE171" s="94"/>
      <c r="AF171" s="94"/>
      <c r="AG171" s="94"/>
      <c r="AH171" s="94"/>
      <c r="AI171" s="94"/>
      <c r="AJ171" s="94"/>
      <c r="AK171" s="94"/>
      <c r="AL171" s="94"/>
      <c r="AM171" s="94"/>
      <c r="AN171" s="94"/>
      <c r="AO171" s="94"/>
      <c r="AP171" s="94"/>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row>
    <row r="172" spans="1:64" s="123" customFormat="1" ht="18.75" customHeight="1" x14ac:dyDescent="0.25">
      <c r="A172" s="21"/>
      <c r="B172" s="210"/>
      <c r="C172" s="210"/>
      <c r="D172" s="210"/>
      <c r="E172" s="210"/>
      <c r="F172" s="210"/>
      <c r="G172" s="210"/>
      <c r="H172" s="210"/>
      <c r="I172" s="210"/>
      <c r="J172" s="210"/>
      <c r="K172" s="210"/>
      <c r="L172" s="210"/>
      <c r="M172" s="210"/>
      <c r="N172" s="210"/>
      <c r="O172" s="210"/>
      <c r="P172" s="214"/>
      <c r="Q172" s="210"/>
      <c r="R172" s="210"/>
      <c r="S172" s="210"/>
      <c r="T172" s="210"/>
      <c r="U172" s="210"/>
      <c r="V172" s="210"/>
      <c r="W172" s="210"/>
      <c r="X172" s="210"/>
      <c r="Y172" s="210"/>
      <c r="Z172" s="210"/>
      <c r="AA172" s="210"/>
      <c r="AC172" s="94"/>
      <c r="AD172" s="94"/>
      <c r="AE172" s="94"/>
      <c r="AF172" s="94"/>
      <c r="AG172" s="94"/>
      <c r="AH172" s="94"/>
      <c r="AI172" s="94"/>
      <c r="AJ172" s="94"/>
      <c r="AK172" s="94"/>
      <c r="AL172" s="94"/>
      <c r="AM172" s="94"/>
      <c r="AN172" s="94"/>
      <c r="AO172" s="94"/>
      <c r="AP172" s="94"/>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row>
    <row r="173" spans="1:64" s="123" customFormat="1" ht="18.75" customHeight="1" x14ac:dyDescent="0.25">
      <c r="A173" s="21"/>
      <c r="B173" s="210"/>
      <c r="C173" s="210"/>
      <c r="D173" s="210"/>
      <c r="E173" s="210"/>
      <c r="F173" s="210"/>
      <c r="G173" s="210"/>
      <c r="H173" s="210"/>
      <c r="I173" s="210"/>
      <c r="J173" s="210"/>
      <c r="K173" s="210"/>
      <c r="L173" s="210"/>
      <c r="M173" s="210"/>
      <c r="N173" s="210"/>
      <c r="O173" s="210"/>
      <c r="P173" s="214"/>
      <c r="Q173" s="210"/>
      <c r="R173" s="210"/>
      <c r="S173" s="210"/>
      <c r="T173" s="210"/>
      <c r="U173" s="210"/>
      <c r="V173" s="210"/>
      <c r="W173" s="210"/>
      <c r="X173" s="210"/>
      <c r="Y173" s="210"/>
      <c r="Z173" s="210"/>
      <c r="AA173" s="210"/>
      <c r="AC173" s="94"/>
      <c r="AD173" s="94"/>
      <c r="AE173" s="94"/>
      <c r="AF173" s="94"/>
      <c r="AG173" s="94"/>
      <c r="AH173" s="94"/>
      <c r="AI173" s="94"/>
      <c r="AJ173" s="94"/>
      <c r="AK173" s="94"/>
      <c r="AL173" s="94"/>
      <c r="AM173" s="94"/>
      <c r="AN173" s="94"/>
      <c r="AO173" s="94"/>
      <c r="AP173" s="94"/>
      <c r="AQ173" s="129"/>
      <c r="AR173" s="129"/>
      <c r="AS173" s="129"/>
      <c r="AT173" s="129"/>
      <c r="AU173" s="129"/>
      <c r="AV173" s="129"/>
      <c r="AW173" s="129"/>
      <c r="AX173" s="129"/>
      <c r="AY173" s="129"/>
      <c r="AZ173" s="129"/>
      <c r="BA173" s="129"/>
      <c r="BB173" s="129"/>
      <c r="BC173" s="129"/>
      <c r="BD173" s="129"/>
      <c r="BE173" s="129"/>
      <c r="BF173" s="129"/>
      <c r="BG173" s="129"/>
      <c r="BH173" s="129"/>
      <c r="BI173" s="129"/>
      <c r="BJ173" s="129"/>
      <c r="BK173" s="129"/>
      <c r="BL173" s="129"/>
    </row>
    <row r="174" spans="1:64" s="123" customFormat="1" ht="18.75" customHeight="1" x14ac:dyDescent="0.25">
      <c r="A174" s="21"/>
      <c r="B174" s="210"/>
      <c r="C174" s="210"/>
      <c r="D174" s="210"/>
      <c r="E174" s="210"/>
      <c r="F174" s="210"/>
      <c r="G174" s="210"/>
      <c r="H174" s="210"/>
      <c r="I174" s="210"/>
      <c r="J174" s="210"/>
      <c r="K174" s="210"/>
      <c r="L174" s="210"/>
      <c r="M174" s="210"/>
      <c r="N174" s="210"/>
      <c r="O174" s="210"/>
      <c r="P174" s="214"/>
      <c r="Q174" s="210"/>
      <c r="R174" s="210"/>
      <c r="S174" s="210"/>
      <c r="T174" s="210"/>
      <c r="U174" s="210"/>
      <c r="V174" s="210"/>
      <c r="W174" s="210"/>
      <c r="X174" s="210"/>
      <c r="Y174" s="210"/>
      <c r="Z174" s="210"/>
      <c r="AA174" s="210"/>
      <c r="AC174" s="94"/>
      <c r="AD174" s="94"/>
      <c r="AE174" s="94"/>
      <c r="AF174" s="94"/>
      <c r="AG174" s="94"/>
      <c r="AH174" s="94"/>
      <c r="AI174" s="94"/>
      <c r="AJ174" s="94"/>
      <c r="AK174" s="94"/>
      <c r="AL174" s="94"/>
      <c r="AM174" s="94"/>
      <c r="AN174" s="94"/>
      <c r="AO174" s="94"/>
      <c r="AP174" s="94"/>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row>
    <row r="175" spans="1:64" s="123" customFormat="1" ht="18.75" customHeight="1" x14ac:dyDescent="0.25">
      <c r="A175" s="21"/>
      <c r="B175" s="210"/>
      <c r="C175" s="210"/>
      <c r="D175" s="210"/>
      <c r="E175" s="210"/>
      <c r="F175" s="210"/>
      <c r="G175" s="210"/>
      <c r="H175" s="210"/>
      <c r="I175" s="210"/>
      <c r="J175" s="210"/>
      <c r="K175" s="210"/>
      <c r="L175" s="210"/>
      <c r="M175" s="210"/>
      <c r="N175" s="210"/>
      <c r="O175" s="210"/>
      <c r="P175" s="214"/>
      <c r="Q175" s="210"/>
      <c r="R175" s="210"/>
      <c r="S175" s="210"/>
      <c r="T175" s="210"/>
      <c r="U175" s="210"/>
      <c r="V175" s="210"/>
      <c r="W175" s="210"/>
      <c r="X175" s="210"/>
      <c r="Y175" s="210"/>
      <c r="Z175" s="210"/>
      <c r="AA175" s="210"/>
      <c r="AC175" s="94"/>
      <c r="AD175" s="94"/>
      <c r="AE175" s="94"/>
      <c r="AF175" s="94"/>
      <c r="AG175" s="94"/>
      <c r="AH175" s="94"/>
      <c r="AI175" s="94"/>
      <c r="AJ175" s="94"/>
      <c r="AK175" s="94"/>
      <c r="AL175" s="94"/>
      <c r="AM175" s="94"/>
      <c r="AN175" s="94"/>
      <c r="AO175" s="94"/>
      <c r="AP175" s="94"/>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row>
    <row r="176" spans="1:64" s="123" customFormat="1" ht="18.75" customHeight="1" x14ac:dyDescent="0.25">
      <c r="A176" s="21"/>
      <c r="B176" s="210"/>
      <c r="C176" s="210"/>
      <c r="D176" s="210"/>
      <c r="E176" s="210"/>
      <c r="F176" s="210"/>
      <c r="G176" s="210"/>
      <c r="H176" s="210"/>
      <c r="I176" s="210"/>
      <c r="J176" s="210"/>
      <c r="K176" s="210"/>
      <c r="L176" s="210"/>
      <c r="M176" s="210"/>
      <c r="N176" s="210"/>
      <c r="O176" s="210"/>
      <c r="P176" s="214"/>
      <c r="Q176" s="210"/>
      <c r="R176" s="210"/>
      <c r="S176" s="210"/>
      <c r="T176" s="210"/>
      <c r="U176" s="210"/>
      <c r="V176" s="210"/>
      <c r="W176" s="210"/>
      <c r="X176" s="210"/>
      <c r="Y176" s="210"/>
      <c r="Z176" s="210"/>
      <c r="AA176" s="210"/>
      <c r="AC176" s="94"/>
      <c r="AD176" s="94"/>
      <c r="AE176" s="94"/>
      <c r="AF176" s="94"/>
      <c r="AG176" s="94"/>
      <c r="AH176" s="94"/>
      <c r="AI176" s="94"/>
      <c r="AJ176" s="94"/>
      <c r="AK176" s="94"/>
      <c r="AL176" s="94"/>
      <c r="AM176" s="94"/>
      <c r="AN176" s="94"/>
      <c r="AO176" s="94"/>
      <c r="AP176" s="94"/>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64" s="123" customFormat="1" ht="18.75" customHeight="1" x14ac:dyDescent="0.25">
      <c r="A177" s="21"/>
      <c r="B177" s="210"/>
      <c r="C177" s="210"/>
      <c r="D177" s="210"/>
      <c r="E177" s="210"/>
      <c r="F177" s="210"/>
      <c r="G177" s="210"/>
      <c r="H177" s="210"/>
      <c r="I177" s="210"/>
      <c r="J177" s="210"/>
      <c r="K177" s="210"/>
      <c r="L177" s="210"/>
      <c r="M177" s="210"/>
      <c r="N177" s="210"/>
      <c r="O177" s="210"/>
      <c r="P177" s="214"/>
      <c r="Q177" s="210"/>
      <c r="R177" s="210"/>
      <c r="S177" s="210"/>
      <c r="T177" s="210"/>
      <c r="U177" s="210"/>
      <c r="V177" s="210"/>
      <c r="W177" s="210"/>
      <c r="X177" s="210"/>
      <c r="Y177" s="210"/>
      <c r="Z177" s="210"/>
      <c r="AA177" s="210"/>
      <c r="AC177" s="94"/>
      <c r="AD177" s="94"/>
      <c r="AE177" s="94"/>
      <c r="AF177" s="94"/>
      <c r="AG177" s="94"/>
      <c r="AH177" s="94"/>
      <c r="AI177" s="94"/>
      <c r="AJ177" s="94"/>
      <c r="AK177" s="94"/>
      <c r="AL177" s="94"/>
      <c r="AM177" s="94"/>
      <c r="AN177" s="94"/>
      <c r="AO177" s="94"/>
      <c r="AP177" s="94"/>
      <c r="AQ177" s="129"/>
      <c r="AR177" s="129"/>
      <c r="AS177" s="129"/>
      <c r="AT177" s="129"/>
      <c r="AU177" s="129"/>
      <c r="AV177" s="129"/>
      <c r="AW177" s="129"/>
      <c r="AX177" s="129"/>
      <c r="AY177" s="129"/>
      <c r="AZ177" s="129"/>
      <c r="BA177" s="129"/>
      <c r="BB177" s="129"/>
      <c r="BC177" s="129"/>
      <c r="BD177" s="129"/>
      <c r="BE177" s="129"/>
      <c r="BF177" s="129"/>
      <c r="BG177" s="129"/>
      <c r="BH177" s="129"/>
      <c r="BI177" s="129"/>
      <c r="BJ177" s="129"/>
      <c r="BK177" s="129"/>
      <c r="BL177" s="129"/>
    </row>
    <row r="178" spans="1:64" s="123" customFormat="1" ht="18.75" customHeight="1" x14ac:dyDescent="0.25">
      <c r="A178" s="21"/>
      <c r="B178" s="210"/>
      <c r="C178" s="210"/>
      <c r="D178" s="210"/>
      <c r="E178" s="210"/>
      <c r="F178" s="210"/>
      <c r="G178" s="210"/>
      <c r="H178" s="210"/>
      <c r="I178" s="210"/>
      <c r="J178" s="210"/>
      <c r="K178" s="210"/>
      <c r="L178" s="210"/>
      <c r="M178" s="210"/>
      <c r="N178" s="210"/>
      <c r="O178" s="210"/>
      <c r="P178" s="214"/>
      <c r="Q178" s="210"/>
      <c r="R178" s="210"/>
      <c r="S178" s="210"/>
      <c r="T178" s="210"/>
      <c r="U178" s="210"/>
      <c r="V178" s="210"/>
      <c r="W178" s="210"/>
      <c r="X178" s="210"/>
      <c r="Y178" s="210"/>
      <c r="Z178" s="210"/>
      <c r="AA178" s="210"/>
      <c r="AC178" s="94"/>
      <c r="AD178" s="94"/>
      <c r="AE178" s="94"/>
      <c r="AF178" s="94"/>
      <c r="AG178" s="94"/>
      <c r="AH178" s="94"/>
      <c r="AI178" s="94"/>
      <c r="AJ178" s="94"/>
      <c r="AK178" s="94"/>
      <c r="AL178" s="94"/>
      <c r="AM178" s="94"/>
      <c r="AN178" s="94"/>
      <c r="AO178" s="94"/>
      <c r="AP178" s="94"/>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row>
    <row r="179" spans="1:64" s="123" customFormat="1" ht="18.75" customHeight="1" x14ac:dyDescent="0.25">
      <c r="A179" s="21"/>
      <c r="B179" s="210"/>
      <c r="C179" s="210"/>
      <c r="D179" s="210"/>
      <c r="E179" s="210"/>
      <c r="F179" s="210"/>
      <c r="G179" s="210"/>
      <c r="H179" s="210"/>
      <c r="I179" s="210"/>
      <c r="J179" s="210"/>
      <c r="K179" s="210"/>
      <c r="L179" s="210"/>
      <c r="M179" s="210"/>
      <c r="N179" s="210"/>
      <c r="O179" s="210"/>
      <c r="P179" s="214"/>
      <c r="Q179" s="210"/>
      <c r="R179" s="210"/>
      <c r="S179" s="210"/>
      <c r="T179" s="210"/>
      <c r="U179" s="210"/>
      <c r="V179" s="210"/>
      <c r="W179" s="210"/>
      <c r="X179" s="210"/>
      <c r="Y179" s="210"/>
      <c r="Z179" s="210"/>
      <c r="AA179" s="210"/>
      <c r="AC179" s="94"/>
      <c r="AD179" s="94"/>
      <c r="AE179" s="94"/>
      <c r="AF179" s="94"/>
      <c r="AG179" s="94"/>
      <c r="AH179" s="94"/>
      <c r="AI179" s="94"/>
      <c r="AJ179" s="94"/>
      <c r="AK179" s="94"/>
      <c r="AL179" s="94"/>
      <c r="AM179" s="94"/>
      <c r="AN179" s="94"/>
      <c r="AO179" s="94"/>
      <c r="AP179" s="94"/>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row>
    <row r="180" spans="1:64" s="123" customFormat="1" ht="18.75" customHeight="1" x14ac:dyDescent="0.25">
      <c r="A180" s="21"/>
      <c r="B180" s="210"/>
      <c r="C180" s="210"/>
      <c r="D180" s="210"/>
      <c r="E180" s="210"/>
      <c r="F180" s="210"/>
      <c r="G180" s="210"/>
      <c r="H180" s="210"/>
      <c r="I180" s="210"/>
      <c r="J180" s="210"/>
      <c r="K180" s="210"/>
      <c r="L180" s="210"/>
      <c r="M180" s="210"/>
      <c r="N180" s="210"/>
      <c r="O180" s="210"/>
      <c r="P180" s="214"/>
      <c r="Q180" s="210"/>
      <c r="R180" s="210"/>
      <c r="S180" s="210"/>
      <c r="T180" s="210"/>
      <c r="U180" s="210"/>
      <c r="V180" s="210"/>
      <c r="W180" s="210"/>
      <c r="X180" s="210"/>
      <c r="Y180" s="210"/>
      <c r="Z180" s="210"/>
      <c r="AA180" s="210"/>
      <c r="AC180" s="94"/>
      <c r="AD180" s="94"/>
      <c r="AE180" s="94"/>
      <c r="AF180" s="94"/>
      <c r="AG180" s="94"/>
      <c r="AH180" s="94"/>
      <c r="AI180" s="94"/>
      <c r="AJ180" s="94"/>
      <c r="AK180" s="94"/>
      <c r="AL180" s="94"/>
      <c r="AM180" s="94"/>
      <c r="AN180" s="94"/>
      <c r="AO180" s="94"/>
      <c r="AP180" s="94"/>
      <c r="AQ180" s="129"/>
      <c r="AR180" s="129"/>
      <c r="AS180" s="129"/>
      <c r="AT180" s="129"/>
      <c r="AU180" s="129"/>
      <c r="AV180" s="129"/>
      <c r="AW180" s="129"/>
      <c r="AX180" s="129"/>
      <c r="AY180" s="129"/>
      <c r="AZ180" s="129"/>
      <c r="BA180" s="129"/>
      <c r="BB180" s="129"/>
      <c r="BC180" s="129"/>
      <c r="BD180" s="129"/>
      <c r="BE180" s="129"/>
      <c r="BF180" s="129"/>
      <c r="BG180" s="129"/>
      <c r="BH180" s="129"/>
      <c r="BI180" s="129"/>
      <c r="BJ180" s="129"/>
      <c r="BK180" s="129"/>
      <c r="BL180" s="129"/>
    </row>
    <row r="181" spans="1:64" s="123" customFormat="1" ht="18.75" customHeight="1" x14ac:dyDescent="0.25">
      <c r="A181" s="21"/>
      <c r="B181" s="210"/>
      <c r="C181" s="210"/>
      <c r="D181" s="210"/>
      <c r="E181" s="210"/>
      <c r="F181" s="210"/>
      <c r="G181" s="210"/>
      <c r="H181" s="210"/>
      <c r="I181" s="210"/>
      <c r="J181" s="210"/>
      <c r="K181" s="210"/>
      <c r="L181" s="210"/>
      <c r="M181" s="210"/>
      <c r="N181" s="210"/>
      <c r="O181" s="210"/>
      <c r="P181" s="214"/>
      <c r="Q181" s="210"/>
      <c r="R181" s="210"/>
      <c r="S181" s="210"/>
      <c r="T181" s="210"/>
      <c r="U181" s="210"/>
      <c r="V181" s="210"/>
      <c r="W181" s="210"/>
      <c r="X181" s="210"/>
      <c r="Y181" s="210"/>
      <c r="Z181" s="210"/>
      <c r="AA181" s="210"/>
      <c r="AC181" s="94"/>
      <c r="AD181" s="94"/>
      <c r="AE181" s="94"/>
      <c r="AF181" s="94"/>
      <c r="AG181" s="94"/>
      <c r="AH181" s="94"/>
      <c r="AI181" s="94"/>
      <c r="AJ181" s="94"/>
      <c r="AK181" s="94"/>
      <c r="AL181" s="94"/>
      <c r="AM181" s="94"/>
      <c r="AN181" s="94"/>
      <c r="AO181" s="94"/>
      <c r="AP181" s="94"/>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row>
    <row r="182" spans="1:64" s="123" customFormat="1" ht="18.75" customHeight="1" x14ac:dyDescent="0.25">
      <c r="A182" s="21"/>
      <c r="B182" s="210"/>
      <c r="C182" s="210"/>
      <c r="D182" s="210"/>
      <c r="E182" s="210"/>
      <c r="F182" s="210"/>
      <c r="G182" s="210"/>
      <c r="H182" s="210"/>
      <c r="I182" s="210"/>
      <c r="J182" s="210"/>
      <c r="K182" s="210"/>
      <c r="L182" s="210"/>
      <c r="M182" s="210"/>
      <c r="N182" s="210"/>
      <c r="O182" s="210"/>
      <c r="P182" s="214"/>
      <c r="Q182" s="210"/>
      <c r="R182" s="210"/>
      <c r="S182" s="210"/>
      <c r="T182" s="210"/>
      <c r="U182" s="210"/>
      <c r="V182" s="210"/>
      <c r="W182" s="210"/>
      <c r="X182" s="210"/>
      <c r="Y182" s="210"/>
      <c r="Z182" s="210"/>
      <c r="AA182" s="210"/>
      <c r="AC182" s="94"/>
      <c r="AD182" s="94"/>
      <c r="AE182" s="94"/>
      <c r="AF182" s="94"/>
      <c r="AG182" s="94"/>
      <c r="AH182" s="94"/>
      <c r="AI182" s="94"/>
      <c r="AJ182" s="94"/>
      <c r="AK182" s="94"/>
      <c r="AL182" s="94"/>
      <c r="AM182" s="94"/>
      <c r="AN182" s="94"/>
      <c r="AO182" s="94"/>
      <c r="AP182" s="94"/>
      <c r="AQ182" s="129"/>
      <c r="AR182" s="129"/>
      <c r="AS182" s="129"/>
      <c r="AT182" s="129"/>
      <c r="AU182" s="129"/>
      <c r="AV182" s="129"/>
      <c r="AW182" s="129"/>
      <c r="AX182" s="129"/>
      <c r="AY182" s="129"/>
      <c r="AZ182" s="129"/>
      <c r="BA182" s="129"/>
      <c r="BB182" s="129"/>
      <c r="BC182" s="129"/>
      <c r="BD182" s="129"/>
      <c r="BE182" s="129"/>
      <c r="BF182" s="129"/>
      <c r="BG182" s="129"/>
      <c r="BH182" s="129"/>
      <c r="BI182" s="129"/>
      <c r="BJ182" s="129"/>
      <c r="BK182" s="129"/>
      <c r="BL182" s="129"/>
    </row>
    <row r="183" spans="1:64" s="123" customFormat="1" ht="18.75" customHeight="1" x14ac:dyDescent="0.25">
      <c r="A183" s="21"/>
      <c r="B183" s="210"/>
      <c r="C183" s="210"/>
      <c r="D183" s="210"/>
      <c r="E183" s="210"/>
      <c r="F183" s="210"/>
      <c r="G183" s="210"/>
      <c r="H183" s="210"/>
      <c r="I183" s="210"/>
      <c r="J183" s="210"/>
      <c r="K183" s="210"/>
      <c r="L183" s="210"/>
      <c r="M183" s="210"/>
      <c r="N183" s="210"/>
      <c r="O183" s="210"/>
      <c r="P183" s="214"/>
      <c r="Q183" s="210"/>
      <c r="R183" s="210"/>
      <c r="S183" s="210"/>
      <c r="T183" s="210"/>
      <c r="U183" s="210"/>
      <c r="V183" s="210"/>
      <c r="W183" s="210"/>
      <c r="X183" s="210"/>
      <c r="Y183" s="210"/>
      <c r="Z183" s="210"/>
      <c r="AA183" s="210"/>
      <c r="AC183" s="94"/>
      <c r="AD183" s="94"/>
      <c r="AE183" s="94"/>
      <c r="AF183" s="94"/>
      <c r="AG183" s="94"/>
      <c r="AH183" s="94"/>
      <c r="AI183" s="94"/>
      <c r="AJ183" s="94"/>
      <c r="AK183" s="94"/>
      <c r="AL183" s="94"/>
      <c r="AM183" s="94"/>
      <c r="AN183" s="94"/>
      <c r="AO183" s="94"/>
      <c r="AP183" s="94"/>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row>
    <row r="184" spans="1:64" s="123" customFormat="1" ht="18.75" customHeight="1" x14ac:dyDescent="0.25">
      <c r="A184" s="21"/>
      <c r="B184" s="210"/>
      <c r="C184" s="210"/>
      <c r="D184" s="210"/>
      <c r="E184" s="210"/>
      <c r="F184" s="210"/>
      <c r="G184" s="210"/>
      <c r="H184" s="210"/>
      <c r="I184" s="210"/>
      <c r="J184" s="210"/>
      <c r="K184" s="210"/>
      <c r="L184" s="210"/>
      <c r="M184" s="210"/>
      <c r="N184" s="210"/>
      <c r="O184" s="210"/>
      <c r="P184" s="214"/>
      <c r="Q184" s="210"/>
      <c r="R184" s="210"/>
      <c r="S184" s="210"/>
      <c r="T184" s="210"/>
      <c r="U184" s="210"/>
      <c r="V184" s="210"/>
      <c r="W184" s="210"/>
      <c r="X184" s="210"/>
      <c r="Y184" s="210"/>
      <c r="Z184" s="210"/>
      <c r="AA184" s="210"/>
      <c r="AC184" s="94"/>
      <c r="AD184" s="94"/>
      <c r="AE184" s="94"/>
      <c r="AF184" s="94"/>
      <c r="AG184" s="94"/>
      <c r="AH184" s="94"/>
      <c r="AI184" s="94"/>
      <c r="AJ184" s="94"/>
      <c r="AK184" s="94"/>
      <c r="AL184" s="94"/>
      <c r="AM184" s="94"/>
      <c r="AN184" s="94"/>
      <c r="AO184" s="94"/>
      <c r="AP184" s="94"/>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row>
    <row r="185" spans="1:64" s="123" customFormat="1" ht="18.75" customHeight="1" x14ac:dyDescent="0.25">
      <c r="A185" s="21"/>
      <c r="B185" s="210"/>
      <c r="C185" s="210"/>
      <c r="D185" s="210"/>
      <c r="E185" s="210"/>
      <c r="F185" s="210"/>
      <c r="G185" s="210"/>
      <c r="H185" s="210"/>
      <c r="I185" s="210"/>
      <c r="J185" s="210"/>
      <c r="K185" s="210"/>
      <c r="L185" s="210"/>
      <c r="M185" s="210"/>
      <c r="N185" s="210"/>
      <c r="O185" s="210"/>
      <c r="P185" s="214"/>
      <c r="Q185" s="210"/>
      <c r="R185" s="210"/>
      <c r="S185" s="210"/>
      <c r="T185" s="210"/>
      <c r="U185" s="210"/>
      <c r="V185" s="210"/>
      <c r="W185" s="210"/>
      <c r="X185" s="210"/>
      <c r="Y185" s="210"/>
      <c r="Z185" s="210"/>
      <c r="AA185" s="210"/>
      <c r="AC185" s="94"/>
      <c r="AD185" s="94"/>
      <c r="AE185" s="94"/>
      <c r="AF185" s="94"/>
      <c r="AG185" s="94"/>
      <c r="AH185" s="94"/>
      <c r="AI185" s="94"/>
      <c r="AJ185" s="94"/>
      <c r="AK185" s="94"/>
      <c r="AL185" s="94"/>
      <c r="AM185" s="94"/>
      <c r="AN185" s="94"/>
      <c r="AO185" s="94"/>
      <c r="AP185" s="94"/>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row>
    <row r="186" spans="1:64" s="123" customFormat="1" ht="18.75" customHeight="1" x14ac:dyDescent="0.25">
      <c r="A186" s="21"/>
      <c r="B186" s="210"/>
      <c r="C186" s="210"/>
      <c r="D186" s="210"/>
      <c r="E186" s="210"/>
      <c r="F186" s="210"/>
      <c r="G186" s="210"/>
      <c r="H186" s="210"/>
      <c r="I186" s="210"/>
      <c r="J186" s="210"/>
      <c r="K186" s="210"/>
      <c r="L186" s="210"/>
      <c r="M186" s="210"/>
      <c r="N186" s="210"/>
      <c r="O186" s="210"/>
      <c r="P186" s="214"/>
      <c r="Q186" s="210"/>
      <c r="R186" s="210"/>
      <c r="S186" s="210"/>
      <c r="T186" s="210"/>
      <c r="U186" s="210"/>
      <c r="V186" s="210"/>
      <c r="W186" s="210"/>
      <c r="X186" s="210"/>
      <c r="Y186" s="210"/>
      <c r="Z186" s="210"/>
      <c r="AA186" s="210"/>
      <c r="AC186" s="94"/>
      <c r="AD186" s="94"/>
      <c r="AE186" s="94"/>
      <c r="AF186" s="94"/>
      <c r="AG186" s="94"/>
      <c r="AH186" s="94"/>
      <c r="AI186" s="94"/>
      <c r="AJ186" s="94"/>
      <c r="AK186" s="94"/>
      <c r="AL186" s="94"/>
      <c r="AM186" s="94"/>
      <c r="AN186" s="94"/>
      <c r="AO186" s="94"/>
      <c r="AP186" s="94"/>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row>
    <row r="187" spans="1:64" s="123" customFormat="1" ht="18.75" customHeight="1" x14ac:dyDescent="0.25">
      <c r="A187" s="21"/>
      <c r="B187" s="210"/>
      <c r="C187" s="210"/>
      <c r="D187" s="210"/>
      <c r="E187" s="210"/>
      <c r="F187" s="210"/>
      <c r="G187" s="210"/>
      <c r="H187" s="210"/>
      <c r="I187" s="210"/>
      <c r="J187" s="210"/>
      <c r="K187" s="210"/>
      <c r="L187" s="210"/>
      <c r="M187" s="210"/>
      <c r="N187" s="210"/>
      <c r="O187" s="210"/>
      <c r="P187" s="214"/>
      <c r="Q187" s="210"/>
      <c r="R187" s="210"/>
      <c r="S187" s="210"/>
      <c r="T187" s="210"/>
      <c r="U187" s="210"/>
      <c r="V187" s="210"/>
      <c r="W187" s="210"/>
      <c r="X187" s="210"/>
      <c r="Y187" s="210"/>
      <c r="Z187" s="210"/>
      <c r="AA187" s="210"/>
      <c r="AC187" s="94"/>
      <c r="AD187" s="94"/>
      <c r="AE187" s="94"/>
      <c r="AF187" s="94"/>
      <c r="AG187" s="94"/>
      <c r="AH187" s="94"/>
      <c r="AI187" s="94"/>
      <c r="AJ187" s="94"/>
      <c r="AK187" s="94"/>
      <c r="AL187" s="94"/>
      <c r="AM187" s="94"/>
      <c r="AN187" s="94"/>
      <c r="AO187" s="94"/>
      <c r="AP187" s="94"/>
      <c r="AQ187" s="129"/>
      <c r="AR187" s="129"/>
      <c r="AS187" s="129"/>
      <c r="AT187" s="129"/>
      <c r="AU187" s="129"/>
      <c r="AV187" s="129"/>
      <c r="AW187" s="129"/>
      <c r="AX187" s="129"/>
      <c r="AY187" s="129"/>
      <c r="AZ187" s="129"/>
      <c r="BA187" s="129"/>
      <c r="BB187" s="129"/>
      <c r="BC187" s="129"/>
      <c r="BD187" s="129"/>
      <c r="BE187" s="129"/>
      <c r="BF187" s="129"/>
      <c r="BG187" s="129"/>
      <c r="BH187" s="129"/>
      <c r="BI187" s="129"/>
      <c r="BJ187" s="129"/>
      <c r="BK187" s="129"/>
      <c r="BL187" s="129"/>
    </row>
    <row r="188" spans="1:64" s="123" customFormat="1" ht="18.75" customHeight="1" x14ac:dyDescent="0.25">
      <c r="A188" s="21"/>
      <c r="B188" s="210"/>
      <c r="C188" s="210"/>
      <c r="D188" s="210"/>
      <c r="E188" s="210"/>
      <c r="F188" s="210"/>
      <c r="G188" s="210"/>
      <c r="H188" s="210"/>
      <c r="I188" s="210"/>
      <c r="J188" s="210"/>
      <c r="K188" s="210"/>
      <c r="L188" s="210"/>
      <c r="M188" s="210"/>
      <c r="N188" s="210"/>
      <c r="O188" s="210"/>
      <c r="P188" s="214"/>
      <c r="Q188" s="210"/>
      <c r="R188" s="210"/>
      <c r="S188" s="210"/>
      <c r="T188" s="210"/>
      <c r="U188" s="210"/>
      <c r="V188" s="210"/>
      <c r="W188" s="210"/>
      <c r="X188" s="210"/>
      <c r="Y188" s="210"/>
      <c r="Z188" s="210"/>
      <c r="AA188" s="210"/>
      <c r="AC188" s="94"/>
      <c r="AD188" s="94"/>
      <c r="AE188" s="94"/>
      <c r="AF188" s="94"/>
      <c r="AG188" s="94"/>
      <c r="AH188" s="94"/>
      <c r="AI188" s="94"/>
      <c r="AJ188" s="94"/>
      <c r="AK188" s="94"/>
      <c r="AL188" s="94"/>
      <c r="AM188" s="94"/>
      <c r="AN188" s="94"/>
      <c r="AO188" s="94"/>
      <c r="AP188" s="94"/>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row>
    <row r="189" spans="1:64" s="123" customFormat="1" ht="18.75" customHeight="1" x14ac:dyDescent="0.25">
      <c r="A189" s="21"/>
      <c r="B189" s="210"/>
      <c r="C189" s="210"/>
      <c r="D189" s="210"/>
      <c r="E189" s="210"/>
      <c r="F189" s="210"/>
      <c r="G189" s="210"/>
      <c r="H189" s="210"/>
      <c r="I189" s="210"/>
      <c r="J189" s="210"/>
      <c r="K189" s="210"/>
      <c r="L189" s="210"/>
      <c r="M189" s="210"/>
      <c r="N189" s="210"/>
      <c r="O189" s="210"/>
      <c r="P189" s="214"/>
      <c r="Q189" s="210"/>
      <c r="R189" s="210"/>
      <c r="S189" s="210"/>
      <c r="T189" s="210"/>
      <c r="U189" s="210"/>
      <c r="V189" s="210"/>
      <c r="W189" s="210"/>
      <c r="X189" s="210"/>
      <c r="Y189" s="210"/>
      <c r="Z189" s="210"/>
      <c r="AA189" s="210"/>
      <c r="AC189" s="94"/>
      <c r="AD189" s="94"/>
      <c r="AE189" s="94"/>
      <c r="AF189" s="94"/>
      <c r="AG189" s="94"/>
      <c r="AH189" s="94"/>
      <c r="AI189" s="94"/>
      <c r="AJ189" s="94"/>
      <c r="AK189" s="94"/>
      <c r="AL189" s="94"/>
      <c r="AM189" s="94"/>
      <c r="AN189" s="94"/>
      <c r="AO189" s="94"/>
      <c r="AP189" s="94"/>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row>
  </sheetData>
  <mergeCells count="56">
    <mergeCell ref="Z7:AA7"/>
    <mergeCell ref="C8:G8"/>
    <mergeCell ref="H8:Y8"/>
    <mergeCell ref="A1:R1"/>
    <mergeCell ref="AC1:AZ1"/>
    <mergeCell ref="A2:AA2"/>
    <mergeCell ref="B3:I3"/>
    <mergeCell ref="J3:T3"/>
    <mergeCell ref="B5:Z5"/>
    <mergeCell ref="C10:G10"/>
    <mergeCell ref="H10:Y10"/>
    <mergeCell ref="C9:G9"/>
    <mergeCell ref="H9:Y9"/>
    <mergeCell ref="C7:G7"/>
    <mergeCell ref="H7:Y7"/>
    <mergeCell ref="C11:G11"/>
    <mergeCell ref="H11:Y11"/>
    <mergeCell ref="C12:G12"/>
    <mergeCell ref="H12:Y12"/>
    <mergeCell ref="C13:G13"/>
    <mergeCell ref="H13:Y13"/>
    <mergeCell ref="C17:G17"/>
    <mergeCell ref="H17:Y17"/>
    <mergeCell ref="C16:G16"/>
    <mergeCell ref="H16:Y16"/>
    <mergeCell ref="C14:G14"/>
    <mergeCell ref="H14:Y14"/>
    <mergeCell ref="C15:G15"/>
    <mergeCell ref="H15:Y15"/>
    <mergeCell ref="C23:G23"/>
    <mergeCell ref="H23:Y23"/>
    <mergeCell ref="C21:G21"/>
    <mergeCell ref="H21:Y21"/>
    <mergeCell ref="C22:G22"/>
    <mergeCell ref="H22:Y22"/>
    <mergeCell ref="H28:Y28"/>
    <mergeCell ref="C24:G24"/>
    <mergeCell ref="H24:Y24"/>
    <mergeCell ref="C25:G25"/>
    <mergeCell ref="H25:Y25"/>
    <mergeCell ref="B39:Z39"/>
    <mergeCell ref="C20:G20"/>
    <mergeCell ref="H20:Y20"/>
    <mergeCell ref="C34:G34"/>
    <mergeCell ref="H34:Y34"/>
    <mergeCell ref="C37:G37"/>
    <mergeCell ref="H37:Y37"/>
    <mergeCell ref="C32:G32"/>
    <mergeCell ref="H32:Y32"/>
    <mergeCell ref="C31:G31"/>
    <mergeCell ref="H31:Y31"/>
    <mergeCell ref="C30:G30"/>
    <mergeCell ref="H30:Y30"/>
    <mergeCell ref="C29:G29"/>
    <mergeCell ref="H29:Y29"/>
    <mergeCell ref="C28:G28"/>
  </mergeCells>
  <conditionalFormatting sqref="AC6:AD7">
    <cfRule type="iconSet" priority="45">
      <iconSet iconSet="3Symbols2" showValue="0">
        <cfvo type="percent" val="0"/>
        <cfvo type="percent" val="33"/>
        <cfvo type="percent" val="67"/>
      </iconSet>
    </cfRule>
  </conditionalFormatting>
  <conditionalFormatting sqref="B7">
    <cfRule type="iconSet" priority="42">
      <iconSet iconSet="3Symbols2" showValue="0">
        <cfvo type="percent" val="0"/>
        <cfvo type="percent" val="0" gte="0"/>
        <cfvo type="percent" val="1"/>
      </iconSet>
    </cfRule>
  </conditionalFormatting>
  <conditionalFormatting sqref="AA23">
    <cfRule type="iconSet" priority="37">
      <iconSet iconSet="3Symbols2" showValue="0">
        <cfvo type="percent" val="0"/>
        <cfvo type="percent" val="0" gte="0"/>
        <cfvo type="percent" val="1"/>
      </iconSet>
    </cfRule>
  </conditionalFormatting>
  <conditionalFormatting sqref="AA21">
    <cfRule type="iconSet" priority="27">
      <iconSet iconSet="3Symbols2" showValue="0">
        <cfvo type="percent" val="0"/>
        <cfvo type="percent" val="0" gte="0"/>
        <cfvo type="percent" val="1"/>
      </iconSet>
    </cfRule>
  </conditionalFormatting>
  <conditionalFormatting sqref="AA24">
    <cfRule type="iconSet" priority="8">
      <iconSet iconSet="3Symbols2" showValue="0">
        <cfvo type="percent" val="0"/>
        <cfvo type="percent" val="0" gte="0"/>
        <cfvo type="percent" val="1"/>
      </iconSet>
    </cfRule>
  </conditionalFormatting>
  <conditionalFormatting sqref="AA37">
    <cfRule type="iconSet" priority="613">
      <iconSet iconSet="3Symbols2" showValue="0">
        <cfvo type="percent" val="0"/>
        <cfvo type="percent" val="0" gte="0"/>
        <cfvo type="percent" val="1"/>
      </iconSet>
    </cfRule>
  </conditionalFormatting>
  <conditionalFormatting sqref="AA22 AA8:AA20 AA25:AA36">
    <cfRule type="iconSet" priority="619">
      <iconSet iconSet="3Symbols2" showValue="0">
        <cfvo type="percent" val="0"/>
        <cfvo type="percent" val="0" gte="0"/>
        <cfvo type="percent" val="1"/>
      </iconSet>
    </cfRule>
  </conditionalFormatting>
  <conditionalFormatting sqref="B8:B37">
    <cfRule type="iconSet" priority="623">
      <iconSet iconSet="3Symbols2" showValue="0">
        <cfvo type="percent" val="0"/>
        <cfvo type="percent" val="0" gte="0"/>
        <cfvo type="percent" val="1"/>
      </iconSet>
    </cfRule>
  </conditionalFormatting>
  <printOptions horizontalCentered="1"/>
  <pageMargins left="0.23622047244094491" right="0.23622047244094491" top="0.74803149606299213" bottom="0.74803149606299213" header="0.31496062992125984" footer="0"/>
  <pageSetup paperSize="9" scale="98" orientation="portrait" r:id="rId1"/>
  <headerFooter>
    <oddHeader>&amp;C&amp;G</oddHeader>
    <oddFooter>&amp;R&amp;G</oddFooter>
  </headerFooter>
  <legacyDrawingHF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BL48"/>
  <sheetViews>
    <sheetView showGridLines="0" showRuler="0" showWhiteSpace="0" view="pageLayout" zoomScaleNormal="100" workbookViewId="0">
      <selection activeCell="G12" sqref="G12:W12"/>
    </sheetView>
  </sheetViews>
  <sheetFormatPr defaultColWidth="3.5703125" defaultRowHeight="18.75" customHeight="1" x14ac:dyDescent="0.25"/>
  <cols>
    <col min="1" max="9" width="3.5703125" style="21"/>
    <col min="10" max="10" width="3.5703125" style="21" customWidth="1"/>
    <col min="11" max="14" width="3.5703125" style="21"/>
    <col min="15" max="15" width="3.5703125" style="23"/>
    <col min="16" max="17" width="3.5703125" style="21"/>
    <col min="18" max="18" width="3.5703125" style="21" customWidth="1"/>
    <col min="19" max="26" width="3.5703125" style="21"/>
    <col min="27" max="27" width="3.5703125" style="21" customWidth="1"/>
    <col min="28" max="28" width="6.5703125" style="123" bestFit="1" customWidth="1"/>
    <col min="29" max="29" width="9.5703125" style="94" customWidth="1"/>
    <col min="30" max="30" width="24" style="94" bestFit="1" customWidth="1"/>
    <col min="31" max="31" width="9.5703125" style="94" bestFit="1" customWidth="1"/>
    <col min="32" max="32" width="10.28515625" style="94" bestFit="1" customWidth="1"/>
    <col min="33" max="34" width="3.5703125" style="94" customWidth="1"/>
    <col min="35" max="42" width="3.5703125" style="94"/>
    <col min="43" max="49" width="3.5703125" style="129"/>
    <col min="50" max="50" width="8.5703125" style="129" customWidth="1"/>
    <col min="51" max="51" width="13.5703125" style="129" bestFit="1" customWidth="1"/>
    <col min="52" max="64" width="3.5703125" style="129"/>
    <col min="65" max="16384" width="3.5703125" style="21"/>
  </cols>
  <sheetData>
    <row r="1" spans="1:52" ht="48" customHeight="1" x14ac:dyDescent="0.25">
      <c r="A1" s="732" t="s">
        <v>1335</v>
      </c>
      <c r="B1" s="732"/>
      <c r="C1" s="732"/>
      <c r="D1" s="732"/>
      <c r="E1" s="732"/>
      <c r="F1" s="732"/>
      <c r="G1" s="732"/>
      <c r="H1" s="732"/>
      <c r="I1" s="732"/>
      <c r="J1" s="732"/>
      <c r="K1" s="732"/>
      <c r="L1" s="732"/>
      <c r="M1" s="732"/>
      <c r="N1" s="732"/>
      <c r="O1" s="732"/>
      <c r="P1" s="732"/>
      <c r="Q1" s="732"/>
      <c r="R1" s="732"/>
      <c r="S1" s="732"/>
      <c r="T1" s="732"/>
      <c r="U1" s="732"/>
      <c r="V1" s="732"/>
      <c r="W1" s="732"/>
      <c r="X1" s="732"/>
      <c r="Y1" s="732"/>
      <c r="Z1" s="732"/>
      <c r="AA1" s="732"/>
      <c r="AC1" s="1813" t="s">
        <v>434</v>
      </c>
      <c r="AD1" s="1813"/>
      <c r="AE1" s="1813"/>
      <c r="AF1" s="1813"/>
      <c r="AG1" s="1813"/>
      <c r="AH1" s="1813"/>
      <c r="AI1" s="1813"/>
      <c r="AJ1" s="1813"/>
      <c r="AK1" s="1813"/>
      <c r="AL1" s="1813"/>
      <c r="AM1" s="1813"/>
      <c r="AN1" s="1813"/>
      <c r="AO1" s="1813"/>
      <c r="AP1" s="1813"/>
      <c r="AQ1" s="1813"/>
      <c r="AR1" s="1813"/>
      <c r="AS1" s="1813"/>
      <c r="AT1" s="1813"/>
      <c r="AU1" s="1813"/>
      <c r="AV1" s="1813"/>
      <c r="AW1" s="1813"/>
      <c r="AX1" s="1813"/>
      <c r="AY1" s="1813"/>
      <c r="AZ1" s="1813"/>
    </row>
    <row r="2" spans="1:52" ht="6"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row>
    <row r="3" spans="1:52" s="129" customFormat="1" ht="15"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t="s">
        <v>685</v>
      </c>
      <c r="T3" s="1724"/>
      <c r="U3" s="1724"/>
      <c r="V3" s="1727" t="str">
        <f>+Purpose!U3</f>
        <v>Purchase - Invest</v>
      </c>
      <c r="W3" s="1727"/>
      <c r="X3" s="1727"/>
      <c r="Y3" s="1727"/>
      <c r="Z3" s="1727"/>
      <c r="AA3" s="1727"/>
      <c r="AB3" s="123"/>
      <c r="AC3" s="94"/>
      <c r="AD3" s="94"/>
      <c r="AE3" s="94"/>
      <c r="AF3" s="94"/>
      <c r="AG3" s="94"/>
      <c r="AH3" s="94"/>
      <c r="AI3" s="94"/>
      <c r="AJ3" s="94"/>
      <c r="AK3" s="94"/>
      <c r="AL3" s="94"/>
      <c r="AM3" s="94"/>
      <c r="AN3" s="94"/>
      <c r="AO3" s="94"/>
      <c r="AP3" s="94"/>
    </row>
    <row r="4" spans="1:52" ht="15" x14ac:dyDescent="0.25">
      <c r="A4" s="686"/>
      <c r="B4" s="1724" t="s">
        <v>670</v>
      </c>
      <c r="C4" s="1724"/>
      <c r="D4" s="1724"/>
      <c r="E4" s="1724"/>
      <c r="F4" s="1724"/>
      <c r="G4" s="687"/>
      <c r="H4" s="1725" t="str">
        <f>IF(+Purchase="","",+Purchase)</f>
        <v/>
      </c>
      <c r="I4" s="1725"/>
      <c r="J4" s="1725"/>
      <c r="K4" s="688"/>
      <c r="L4" s="688"/>
      <c r="M4" s="688"/>
      <c r="N4" s="688"/>
      <c r="O4" s="688"/>
      <c r="P4" s="688"/>
      <c r="Q4" s="688"/>
      <c r="R4" s="688"/>
      <c r="S4" s="1724" t="s">
        <v>686</v>
      </c>
      <c r="T4" s="1724"/>
      <c r="U4" s="1724"/>
      <c r="V4" s="1727" t="str">
        <f>+Funding!U4</f>
        <v/>
      </c>
      <c r="W4" s="1727"/>
      <c r="X4" s="1727"/>
      <c r="Y4" s="1727"/>
      <c r="Z4" s="1727"/>
      <c r="AA4" s="686"/>
    </row>
    <row r="5" spans="1:52" s="129" customFormat="1" ht="6" customHeight="1" x14ac:dyDescent="0.25">
      <c r="A5" s="686"/>
      <c r="B5" s="1722"/>
      <c r="C5" s="1722"/>
      <c r="D5" s="1722"/>
      <c r="E5" s="1722"/>
      <c r="F5" s="1722"/>
      <c r="G5" s="1722"/>
      <c r="H5" s="1722"/>
      <c r="I5" s="1722"/>
      <c r="J5" s="1722"/>
      <c r="K5" s="1722"/>
      <c r="L5" s="1722"/>
      <c r="M5" s="1722"/>
      <c r="N5" s="1722"/>
      <c r="O5" s="1722"/>
      <c r="P5" s="1722"/>
      <c r="Q5" s="1722"/>
      <c r="R5" s="1722"/>
      <c r="S5" s="1722"/>
      <c r="T5" s="1722"/>
      <c r="U5" s="1722"/>
      <c r="V5" s="1722"/>
      <c r="W5" s="1722"/>
      <c r="X5" s="1722"/>
      <c r="Y5" s="1722"/>
      <c r="Z5" s="1722"/>
      <c r="AA5" s="686"/>
      <c r="AB5" s="123"/>
      <c r="AC5" s="94"/>
      <c r="AD5" s="94"/>
      <c r="AE5" s="94"/>
      <c r="AF5" s="94"/>
      <c r="AG5" s="94"/>
      <c r="AH5" s="94"/>
      <c r="AI5" s="94"/>
      <c r="AJ5" s="94"/>
      <c r="AK5" s="94"/>
      <c r="AL5" s="94"/>
      <c r="AM5" s="94"/>
      <c r="AN5" s="94"/>
      <c r="AO5" s="94"/>
      <c r="AP5" s="94"/>
    </row>
    <row r="6" spans="1:52" s="129" customFormat="1" ht="6" customHeight="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94"/>
      <c r="AD6" s="94"/>
      <c r="AE6" s="94"/>
      <c r="AF6" s="94"/>
      <c r="AG6" s="94"/>
      <c r="AH6" s="94"/>
      <c r="AI6" s="94"/>
      <c r="AJ6" s="94"/>
      <c r="AK6" s="94"/>
      <c r="AL6" s="94"/>
      <c r="AM6" s="94"/>
      <c r="AN6" s="94"/>
      <c r="AO6" s="94"/>
      <c r="AP6" s="94"/>
    </row>
    <row r="7" spans="1:52" s="129" customFormat="1" ht="18" customHeight="1" x14ac:dyDescent="0.25">
      <c r="A7" s="2095" t="s">
        <v>665</v>
      </c>
      <c r="B7" s="2095"/>
      <c r="C7" s="2095"/>
      <c r="D7" s="2095"/>
      <c r="E7" s="2095"/>
      <c r="F7" s="2095"/>
      <c r="G7" s="2132"/>
      <c r="H7" s="2133"/>
      <c r="I7" s="2133"/>
      <c r="J7" s="2133"/>
      <c r="K7" s="2134"/>
      <c r="L7" s="511"/>
      <c r="M7" s="2132"/>
      <c r="N7" s="2133"/>
      <c r="O7" s="2133"/>
      <c r="P7" s="2133"/>
      <c r="Q7" s="2134"/>
      <c r="R7" s="511"/>
      <c r="S7" s="2132"/>
      <c r="T7" s="2133"/>
      <c r="U7" s="2133"/>
      <c r="V7" s="2133"/>
      <c r="W7" s="2134"/>
      <c r="X7" s="484"/>
      <c r="Y7" s="2129"/>
      <c r="Z7" s="2130"/>
      <c r="AA7" s="2131"/>
      <c r="AB7" s="123"/>
      <c r="AC7" s="94"/>
      <c r="AD7" s="94"/>
      <c r="AE7" s="94"/>
      <c r="AF7" s="94"/>
      <c r="AG7" s="94"/>
      <c r="AH7" s="94"/>
      <c r="AI7" s="94"/>
      <c r="AJ7" s="94"/>
      <c r="AK7" s="94"/>
      <c r="AL7" s="94"/>
      <c r="AM7" s="94"/>
      <c r="AN7" s="94"/>
      <c r="AO7" s="94"/>
      <c r="AP7" s="94"/>
    </row>
    <row r="8" spans="1:52" s="129" customFormat="1" ht="18" customHeight="1" x14ac:dyDescent="0.25">
      <c r="A8" s="638"/>
      <c r="B8" s="638"/>
      <c r="C8" s="638"/>
      <c r="D8" s="638"/>
      <c r="E8" s="638"/>
      <c r="F8" s="638"/>
      <c r="G8" s="2118" t="s">
        <v>723</v>
      </c>
      <c r="H8" s="2118"/>
      <c r="I8" s="2118"/>
      <c r="J8" s="2118"/>
      <c r="K8" s="2118"/>
      <c r="L8" s="21"/>
      <c r="M8" s="2118" t="s">
        <v>724</v>
      </c>
      <c r="N8" s="2118"/>
      <c r="O8" s="2118"/>
      <c r="P8" s="2118"/>
      <c r="Q8" s="2118"/>
      <c r="R8" s="21"/>
      <c r="S8" s="2118" t="s">
        <v>725</v>
      </c>
      <c r="T8" s="2118"/>
      <c r="U8" s="2118"/>
      <c r="V8" s="2118"/>
      <c r="W8" s="2118"/>
      <c r="X8" s="21"/>
      <c r="Y8" s="1551" t="s">
        <v>1035</v>
      </c>
      <c r="Z8" s="1551"/>
      <c r="AA8" s="1551"/>
      <c r="AB8" s="123"/>
      <c r="AC8" s="94"/>
      <c r="AD8" s="94"/>
      <c r="AE8" s="94"/>
      <c r="AF8" s="94"/>
      <c r="AG8" s="94"/>
      <c r="AH8" s="94"/>
      <c r="AI8" s="94"/>
      <c r="AJ8" s="94"/>
      <c r="AK8" s="94"/>
      <c r="AL8" s="94"/>
      <c r="AM8" s="94"/>
      <c r="AN8" s="94"/>
      <c r="AO8" s="94"/>
      <c r="AP8" s="94"/>
    </row>
    <row r="9" spans="1:52" s="129" customFormat="1" ht="6" customHeight="1" x14ac:dyDescent="0.25">
      <c r="A9" s="638"/>
      <c r="B9" s="638"/>
      <c r="C9" s="638"/>
      <c r="D9" s="638"/>
      <c r="E9" s="638"/>
      <c r="F9" s="638"/>
      <c r="G9" s="754"/>
      <c r="H9" s="754"/>
      <c r="I9" s="754"/>
      <c r="J9" s="754"/>
      <c r="K9" s="754"/>
      <c r="L9" s="21"/>
      <c r="M9" s="754"/>
      <c r="N9" s="754"/>
      <c r="O9" s="754"/>
      <c r="P9" s="754"/>
      <c r="Q9" s="754"/>
      <c r="R9" s="21"/>
      <c r="S9" s="754"/>
      <c r="T9" s="754"/>
      <c r="U9" s="754"/>
      <c r="V9" s="754"/>
      <c r="W9" s="754"/>
      <c r="X9" s="21"/>
      <c r="Y9" s="21"/>
      <c r="Z9" s="21"/>
      <c r="AA9" s="21"/>
      <c r="AB9" s="123"/>
      <c r="AC9" s="94"/>
      <c r="AD9" s="94"/>
      <c r="AE9" s="94"/>
      <c r="AF9" s="94"/>
      <c r="AG9" s="94"/>
      <c r="AH9" s="94"/>
      <c r="AI9" s="94"/>
      <c r="AJ9" s="94"/>
      <c r="AK9" s="94"/>
      <c r="AL9" s="94"/>
      <c r="AM9" s="94"/>
      <c r="AN9" s="94"/>
      <c r="AO9" s="94"/>
      <c r="AP9" s="94"/>
    </row>
    <row r="10" spans="1:52" s="129" customFormat="1" ht="18" customHeight="1" x14ac:dyDescent="0.25">
      <c r="A10" s="2105" t="s">
        <v>428</v>
      </c>
      <c r="B10" s="2105"/>
      <c r="C10" s="2105"/>
      <c r="D10" s="2105"/>
      <c r="E10" s="2105"/>
      <c r="F10" s="638"/>
      <c r="G10" s="2120" t="s">
        <v>639</v>
      </c>
      <c r="H10" s="2120"/>
      <c r="I10" s="2120"/>
      <c r="J10" s="2120"/>
      <c r="K10" s="2120"/>
      <c r="L10" s="638"/>
      <c r="M10" s="2121" t="s">
        <v>521</v>
      </c>
      <c r="N10" s="2121"/>
      <c r="O10" s="2121"/>
      <c r="P10" s="2121"/>
      <c r="Q10" s="2121"/>
      <c r="R10" s="638"/>
      <c r="S10" s="2121" t="s">
        <v>522</v>
      </c>
      <c r="T10" s="2121"/>
      <c r="U10" s="2121"/>
      <c r="V10" s="2121"/>
      <c r="W10" s="2121"/>
      <c r="X10" s="21"/>
      <c r="Y10" s="753" t="s">
        <v>31</v>
      </c>
      <c r="Z10" s="753"/>
      <c r="AA10" s="753"/>
      <c r="AB10" s="123"/>
      <c r="AC10" s="94"/>
      <c r="AH10" s="94"/>
      <c r="AI10" s="94"/>
      <c r="AJ10" s="94"/>
      <c r="AK10" s="94"/>
      <c r="AL10" s="94"/>
      <c r="AM10" s="94"/>
      <c r="AN10" s="94"/>
      <c r="AO10" s="94"/>
      <c r="AP10" s="94"/>
    </row>
    <row r="11" spans="1:52" s="129" customFormat="1" ht="18" customHeight="1" x14ac:dyDescent="0.25">
      <c r="A11" s="1061"/>
      <c r="B11" s="1061"/>
      <c r="C11" s="1061"/>
      <c r="D11" s="1061"/>
      <c r="E11" s="1061"/>
      <c r="F11" s="638"/>
      <c r="G11" s="2122" t="str">
        <f>+Funding!AC36</f>
        <v/>
      </c>
      <c r="H11" s="2122"/>
      <c r="I11" s="2122"/>
      <c r="J11" s="2122"/>
      <c r="K11" s="2122"/>
      <c r="L11" s="638"/>
      <c r="M11" s="2122" t="e">
        <f>+Funding!AC37</f>
        <v>#VALUE!</v>
      </c>
      <c r="N11" s="2122"/>
      <c r="O11" s="2122"/>
      <c r="P11" s="2122"/>
      <c r="Q11" s="2122"/>
      <c r="R11" s="638"/>
      <c r="S11" s="2122" t="e">
        <f>+Funding!AC38</f>
        <v>#VALUE!</v>
      </c>
      <c r="T11" s="2122"/>
      <c r="U11" s="2122"/>
      <c r="V11" s="2122"/>
      <c r="W11" s="2122"/>
      <c r="X11" s="21"/>
      <c r="Y11" s="753"/>
      <c r="Z11" s="753"/>
      <c r="AA11" s="753"/>
      <c r="AB11" s="123"/>
      <c r="AC11" s="94"/>
      <c r="AH11" s="94"/>
      <c r="AI11" s="94"/>
      <c r="AJ11" s="94"/>
      <c r="AK11" s="94"/>
      <c r="AL11" s="94"/>
      <c r="AM11" s="94"/>
      <c r="AN11" s="94"/>
      <c r="AO11" s="94"/>
      <c r="AP11" s="94"/>
    </row>
    <row r="12" spans="1:52" s="129" customFormat="1" ht="18" customHeight="1" x14ac:dyDescent="0.25">
      <c r="A12" s="2095" t="s">
        <v>49</v>
      </c>
      <c r="B12" s="2095"/>
      <c r="C12" s="2095"/>
      <c r="D12" s="2095"/>
      <c r="E12" s="2095"/>
      <c r="F12" s="2095"/>
      <c r="G12" s="2119">
        <f>+Funding!AD22</f>
        <v>0</v>
      </c>
      <c r="H12" s="2119"/>
      <c r="I12" s="2119"/>
      <c r="J12" s="2119"/>
      <c r="K12" s="2119"/>
      <c r="L12" s="21"/>
      <c r="M12" s="2119">
        <f>+Funding!AD23</f>
        <v>0</v>
      </c>
      <c r="N12" s="2119"/>
      <c r="O12" s="2119"/>
      <c r="P12" s="2119"/>
      <c r="Q12" s="2119"/>
      <c r="R12" s="21"/>
      <c r="S12" s="2119">
        <f>+Funding!AD24</f>
        <v>0</v>
      </c>
      <c r="T12" s="2119"/>
      <c r="U12" s="2119"/>
      <c r="V12" s="2119"/>
      <c r="W12" s="2119"/>
      <c r="X12" s="21"/>
      <c r="Y12" s="2106">
        <f>SUM(G12,M12,S12)</f>
        <v>0</v>
      </c>
      <c r="Z12" s="2107"/>
      <c r="AA12" s="2107"/>
      <c r="AB12" s="123"/>
      <c r="AC12" s="94"/>
      <c r="AH12" s="94"/>
      <c r="AI12" s="94"/>
      <c r="AJ12" s="94"/>
      <c r="AK12" s="94"/>
      <c r="AL12" s="94"/>
      <c r="AM12" s="94"/>
      <c r="AN12" s="94"/>
      <c r="AO12" s="94"/>
      <c r="AP12" s="94"/>
    </row>
    <row r="13" spans="1:52" s="129" customFormat="1" ht="18" customHeight="1" x14ac:dyDescent="0.25">
      <c r="A13" s="2095" t="s">
        <v>730</v>
      </c>
      <c r="B13" s="2095"/>
      <c r="C13" s="2095"/>
      <c r="D13" s="2095"/>
      <c r="E13" s="2095"/>
      <c r="F13" s="2095"/>
      <c r="G13" s="2109" t="str">
        <f>+IF(Funding!AJ22=1,"Interest Only","P&amp;I")</f>
        <v>P&amp;I</v>
      </c>
      <c r="H13" s="2109"/>
      <c r="I13" s="2109"/>
      <c r="J13" s="821" t="str">
        <f>IF(G13="Interest Only",+Funding!AK22,"")</f>
        <v/>
      </c>
      <c r="K13" s="822" t="s">
        <v>292</v>
      </c>
      <c r="L13" s="21"/>
      <c r="M13" s="2109" t="str">
        <f>+IF(Funding!AJ23=1,"Interest Only","P&amp;I")</f>
        <v>P&amp;I</v>
      </c>
      <c r="N13" s="2109"/>
      <c r="O13" s="2109"/>
      <c r="P13" s="821" t="str">
        <f>IF(M13="Interest Only",+Funding!AK23,"")</f>
        <v/>
      </c>
      <c r="Q13" s="822" t="s">
        <v>292</v>
      </c>
      <c r="R13" s="21"/>
      <c r="S13" s="2109" t="str">
        <f>+IF(Funding!AJ24=1,"Interest Only","P&amp;I")</f>
        <v>P&amp;I</v>
      </c>
      <c r="T13" s="2109"/>
      <c r="U13" s="2109"/>
      <c r="V13" s="821" t="str">
        <f>IF(S13="Interest Only",+Funding!AK24,"")</f>
        <v/>
      </c>
      <c r="W13" s="822" t="s">
        <v>292</v>
      </c>
      <c r="X13" s="21"/>
      <c r="Y13" s="21"/>
      <c r="Z13" s="21"/>
      <c r="AA13" s="21"/>
      <c r="AB13" s="123"/>
      <c r="AC13" s="94"/>
      <c r="AH13" s="94"/>
      <c r="AI13" s="94"/>
      <c r="AJ13" s="94"/>
      <c r="AK13" s="94"/>
      <c r="AL13" s="94"/>
      <c r="AM13" s="94"/>
      <c r="AN13" s="94"/>
      <c r="AO13" s="94"/>
      <c r="AP13" s="94"/>
    </row>
    <row r="14" spans="1:52" s="129" customFormat="1" ht="18" customHeight="1" x14ac:dyDescent="0.25">
      <c r="A14" s="2095" t="s">
        <v>565</v>
      </c>
      <c r="B14" s="2095"/>
      <c r="C14" s="2095"/>
      <c r="D14" s="2095"/>
      <c r="E14" s="2095"/>
      <c r="F14" s="2095"/>
      <c r="G14" s="2109" t="str">
        <f>IF(Funding!AE22=1,"Variable", "Fixed")</f>
        <v>Fixed</v>
      </c>
      <c r="H14" s="2109"/>
      <c r="I14" s="2109"/>
      <c r="J14" s="821">
        <f>IF(G14="Fixed",Funding!AG22,"")</f>
        <v>0</v>
      </c>
      <c r="K14" s="822" t="s">
        <v>292</v>
      </c>
      <c r="L14" s="21"/>
      <c r="M14" s="2109" t="str">
        <f>IF(Funding!AE23=1,"Variable", "Fixed")</f>
        <v>Fixed</v>
      </c>
      <c r="N14" s="2109"/>
      <c r="O14" s="2109"/>
      <c r="P14" s="821">
        <f>IF(M14="Fixed",Funding!AG23,"")</f>
        <v>0</v>
      </c>
      <c r="Q14" s="822" t="s">
        <v>292</v>
      </c>
      <c r="R14" s="21"/>
      <c r="S14" s="2109" t="str">
        <f>IF(Funding!AE24=1,"Variable", "Fixed")</f>
        <v>Fixed</v>
      </c>
      <c r="T14" s="2109"/>
      <c r="U14" s="2109"/>
      <c r="V14" s="821">
        <f>IF(S14="Fixed",Funding!AG24,"")</f>
        <v>0</v>
      </c>
      <c r="W14" s="822" t="s">
        <v>292</v>
      </c>
      <c r="X14" s="21"/>
      <c r="Y14" s="21"/>
      <c r="Z14" s="21"/>
      <c r="AA14" s="21"/>
      <c r="AB14" s="123"/>
      <c r="AC14" s="94"/>
      <c r="AH14" s="94"/>
      <c r="AI14" s="94"/>
      <c r="AJ14" s="94"/>
      <c r="AK14" s="94"/>
      <c r="AL14" s="94"/>
      <c r="AM14" s="94"/>
      <c r="AN14" s="94"/>
      <c r="AO14" s="94"/>
      <c r="AP14" s="94"/>
    </row>
    <row r="15" spans="1:52" s="129" customFormat="1" ht="18" customHeight="1" x14ac:dyDescent="0.25">
      <c r="A15" s="1013" t="s">
        <v>1002</v>
      </c>
      <c r="B15" s="1013"/>
      <c r="C15" s="1013"/>
      <c r="D15" s="1013"/>
      <c r="E15" s="1013"/>
      <c r="F15" s="1013"/>
      <c r="G15" s="2111" t="str">
        <f>IF(Funding!AM22=0,"Personal","Investment")</f>
        <v>Personal</v>
      </c>
      <c r="H15" s="2112"/>
      <c r="I15" s="2112"/>
      <c r="J15" s="2113"/>
      <c r="K15" s="2114"/>
      <c r="L15" s="21"/>
      <c r="M15" s="2115" t="str">
        <f>IF(Funding!AM23=0,"Personal","Investment")</f>
        <v>Personal</v>
      </c>
      <c r="N15" s="2113"/>
      <c r="O15" s="2113"/>
      <c r="P15" s="2113"/>
      <c r="Q15" s="2114"/>
      <c r="R15" s="21"/>
      <c r="S15" s="2115" t="str">
        <f>IF(Funding!AM24=0,"Personal","Investment")</f>
        <v>Personal</v>
      </c>
      <c r="T15" s="2113"/>
      <c r="U15" s="2113"/>
      <c r="V15" s="2113"/>
      <c r="W15" s="2114"/>
      <c r="X15" s="21"/>
      <c r="Y15" s="21"/>
      <c r="Z15" s="21"/>
      <c r="AA15" s="21"/>
      <c r="AB15" s="123"/>
      <c r="AC15" s="94"/>
      <c r="AH15" s="94"/>
      <c r="AI15" s="94"/>
      <c r="AJ15" s="94"/>
      <c r="AK15" s="94"/>
      <c r="AL15" s="94"/>
      <c r="AM15" s="94"/>
      <c r="AN15" s="94"/>
      <c r="AO15" s="94"/>
      <c r="AP15" s="94"/>
    </row>
    <row r="16" spans="1:52" s="129" customFormat="1" ht="18" customHeight="1" x14ac:dyDescent="0.25">
      <c r="A16" s="1013" t="s">
        <v>1003</v>
      </c>
      <c r="B16" s="1013"/>
      <c r="C16" s="1013"/>
      <c r="D16" s="1013"/>
      <c r="E16" s="1013"/>
      <c r="F16" s="1013"/>
      <c r="G16" s="2116"/>
      <c r="H16" s="2116"/>
      <c r="I16" s="2117"/>
      <c r="J16" s="1018">
        <f>+Funding!AO22</f>
        <v>0</v>
      </c>
      <c r="K16" s="822" t="s">
        <v>292</v>
      </c>
      <c r="L16" s="21"/>
      <c r="M16" s="2116"/>
      <c r="N16" s="2116"/>
      <c r="O16" s="2117"/>
      <c r="P16" s="1018">
        <f>+Funding!AO23</f>
        <v>0</v>
      </c>
      <c r="Q16" s="822" t="s">
        <v>292</v>
      </c>
      <c r="R16" s="21"/>
      <c r="S16" s="2116"/>
      <c r="T16" s="2116"/>
      <c r="U16" s="2117"/>
      <c r="V16" s="1018">
        <f>+Funding!AO24</f>
        <v>0</v>
      </c>
      <c r="W16" s="822" t="s">
        <v>292</v>
      </c>
      <c r="X16" s="21"/>
      <c r="Y16" s="21"/>
      <c r="Z16" s="21"/>
      <c r="AA16" s="21"/>
      <c r="AB16" s="123"/>
      <c r="AC16" s="94"/>
      <c r="AH16" s="94"/>
      <c r="AI16" s="94"/>
      <c r="AJ16" s="94"/>
      <c r="AK16" s="94"/>
      <c r="AL16" s="94"/>
      <c r="AM16" s="94"/>
      <c r="AN16" s="94"/>
      <c r="AO16" s="94"/>
      <c r="AP16" s="94"/>
    </row>
    <row r="17" spans="1:64" s="94" customFormat="1" ht="18" customHeight="1" x14ac:dyDescent="0.25">
      <c r="A17" s="2095" t="s">
        <v>729</v>
      </c>
      <c r="B17" s="2095"/>
      <c r="C17" s="2095"/>
      <c r="D17" s="2095"/>
      <c r="E17" s="2095"/>
      <c r="F17" s="2095"/>
      <c r="G17" s="2110" t="e">
        <f>IF(G13="Interest Only",LoanSplit1*SUM(G18:K19)/12,+PMT(SUM(G18:K19)/12,+J16*12,-LoanSplit1))</f>
        <v>#NUM!</v>
      </c>
      <c r="H17" s="2110"/>
      <c r="I17" s="2110"/>
      <c r="J17" s="2108" t="s">
        <v>69</v>
      </c>
      <c r="K17" s="2108"/>
      <c r="L17" s="21"/>
      <c r="M17" s="2110" t="e">
        <f>IF(M13="Interest Only",M12*SUM(M18:Q19)/12,+PMT(SUM(M18:Q19)/12,+P16*12,-M12))</f>
        <v>#NUM!</v>
      </c>
      <c r="N17" s="2110"/>
      <c r="O17" s="2110"/>
      <c r="P17" s="2108" t="s">
        <v>69</v>
      </c>
      <c r="Q17" s="2108"/>
      <c r="R17" s="21"/>
      <c r="S17" s="2110" t="e">
        <f>IF(S13="Interest Only",S12*SUM(S18:W19)/12,+PMT(SUM(S18:W19)/12,+V16*12,-S12))</f>
        <v>#NUM!</v>
      </c>
      <c r="T17" s="2110"/>
      <c r="U17" s="2110"/>
      <c r="V17" s="2108" t="s">
        <v>69</v>
      </c>
      <c r="W17" s="2108"/>
      <c r="X17" s="21"/>
      <c r="Y17" s="2106" t="str">
        <f>IFERROR(SUM(G17,M17,S17),"")</f>
        <v/>
      </c>
      <c r="Z17" s="2107"/>
      <c r="AA17" s="2107"/>
      <c r="AB17" s="123"/>
      <c r="AD17" s="129"/>
      <c r="AF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s="94" customFormat="1" ht="18" customHeight="1" x14ac:dyDescent="0.25">
      <c r="A18" s="2095" t="s">
        <v>524</v>
      </c>
      <c r="B18" s="2095"/>
      <c r="C18" s="2095"/>
      <c r="D18" s="2095"/>
      <c r="E18" s="2095"/>
      <c r="F18" s="2095"/>
      <c r="G18" s="2127" t="str">
        <f>IF($G14="Variable",+Funding!AP22,"")</f>
        <v/>
      </c>
      <c r="H18" s="2127"/>
      <c r="I18" s="2127"/>
      <c r="J18" s="2127"/>
      <c r="K18" s="2127"/>
      <c r="L18" s="21"/>
      <c r="M18" s="2127" t="str">
        <f>IF(M14="Variable",+Funding!AP23,"")</f>
        <v/>
      </c>
      <c r="N18" s="2127"/>
      <c r="O18" s="2127"/>
      <c r="P18" s="2127"/>
      <c r="Q18" s="2127"/>
      <c r="R18" s="21"/>
      <c r="S18" s="2127" t="str">
        <f>IF(S14="Variable",+Funding!AP24,"")</f>
        <v/>
      </c>
      <c r="T18" s="2127"/>
      <c r="U18" s="2127"/>
      <c r="V18" s="2127"/>
      <c r="W18" s="2127"/>
      <c r="X18" s="21"/>
      <c r="Y18" s="21"/>
      <c r="Z18" s="21"/>
      <c r="AA18" s="21"/>
      <c r="AB18" s="123"/>
      <c r="AD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8.75" customHeight="1" x14ac:dyDescent="0.25">
      <c r="A19" s="2095" t="s">
        <v>523</v>
      </c>
      <c r="B19" s="2095"/>
      <c r="C19" s="2095"/>
      <c r="D19" s="2095"/>
      <c r="E19" s="2095"/>
      <c r="F19" s="2128"/>
      <c r="G19" s="2127">
        <f>IF(G14="Fixed",+Funding!AP23,"")</f>
        <v>0</v>
      </c>
      <c r="H19" s="2127"/>
      <c r="I19" s="2127"/>
      <c r="J19" s="2127"/>
      <c r="K19" s="2127"/>
      <c r="M19" s="2127">
        <f>IF(M14="Fixed",+Funding!AP23,"")</f>
        <v>0</v>
      </c>
      <c r="N19" s="2127"/>
      <c r="O19" s="2127"/>
      <c r="P19" s="2127"/>
      <c r="Q19" s="2127"/>
      <c r="S19" s="2127">
        <f>IF(S14="Fixed",+Funding!AP25,"")</f>
        <v>0</v>
      </c>
      <c r="T19" s="2127"/>
      <c r="U19" s="2127"/>
      <c r="V19" s="2127"/>
      <c r="W19" s="2127"/>
      <c r="AD19" s="129"/>
    </row>
    <row r="20" spans="1:64" ht="6" customHeight="1" x14ac:dyDescent="0.25">
      <c r="A20" s="480"/>
      <c r="B20" s="480"/>
      <c r="C20" s="480"/>
      <c r="D20" s="480"/>
      <c r="E20" s="480"/>
      <c r="F20" s="480"/>
    </row>
    <row r="21" spans="1:64" ht="18.75" customHeight="1" x14ac:dyDescent="0.25">
      <c r="A21" s="757" t="s">
        <v>638</v>
      </c>
      <c r="B21" s="758"/>
      <c r="C21" s="758"/>
      <c r="D21" s="758"/>
      <c r="E21" s="758"/>
      <c r="F21" s="758"/>
      <c r="G21" s="758"/>
      <c r="H21" s="758"/>
      <c r="I21" s="758"/>
      <c r="J21" s="758"/>
      <c r="K21" s="758"/>
      <c r="L21" s="758"/>
      <c r="M21" s="758"/>
      <c r="N21" s="758"/>
      <c r="O21" s="758"/>
      <c r="P21" s="758"/>
      <c r="Q21" s="2126" t="s">
        <v>584</v>
      </c>
      <c r="R21" s="2126"/>
      <c r="S21" s="2126"/>
      <c r="T21" s="2126"/>
      <c r="U21" s="2126"/>
      <c r="V21" s="2126"/>
      <c r="W21" s="2126"/>
      <c r="X21" s="2126"/>
      <c r="Y21" s="2126"/>
      <c r="Z21" s="2126"/>
      <c r="AA21" s="2126"/>
    </row>
    <row r="22" spans="1:64" ht="6" customHeight="1" x14ac:dyDescent="0.25"/>
    <row r="23" spans="1:64" ht="18.75" customHeight="1" x14ac:dyDescent="0.25">
      <c r="A23" s="2095" t="s">
        <v>645</v>
      </c>
      <c r="B23" s="2095"/>
      <c r="C23" s="2095"/>
      <c r="D23" s="2095"/>
      <c r="E23" s="2095"/>
      <c r="F23" s="2095"/>
      <c r="G23" s="1037"/>
      <c r="I23" s="2096" t="s">
        <v>548</v>
      </c>
      <c r="J23" s="2097"/>
      <c r="K23" s="2097"/>
      <c r="L23" s="2098"/>
      <c r="N23" s="601"/>
      <c r="O23" s="21"/>
      <c r="P23" s="2096" t="s">
        <v>1036</v>
      </c>
      <c r="Q23" s="2097"/>
      <c r="R23" s="2097"/>
      <c r="S23" s="2098"/>
      <c r="U23" s="601"/>
      <c r="W23" s="2096" t="s">
        <v>1038</v>
      </c>
      <c r="X23" s="2097"/>
      <c r="Y23" s="2097"/>
      <c r="Z23" s="2097"/>
      <c r="AA23" s="2098"/>
    </row>
    <row r="24" spans="1:64" ht="18.75" customHeight="1" x14ac:dyDescent="0.25">
      <c r="A24" s="2095"/>
      <c r="B24" s="2095"/>
      <c r="C24" s="2095"/>
      <c r="D24" s="2095"/>
      <c r="E24" s="2095"/>
      <c r="F24" s="2095"/>
      <c r="G24" s="1037"/>
      <c r="I24" s="2096" t="s">
        <v>1037</v>
      </c>
      <c r="J24" s="2097"/>
      <c r="K24" s="2097"/>
      <c r="L24" s="2098"/>
      <c r="N24" s="601"/>
      <c r="O24" s="21"/>
      <c r="P24" s="2096" t="s">
        <v>646</v>
      </c>
      <c r="Q24" s="2097"/>
      <c r="R24" s="2097"/>
      <c r="S24" s="2098"/>
      <c r="U24" s="601"/>
      <c r="W24" s="2096" t="s">
        <v>1039</v>
      </c>
      <c r="X24" s="2097"/>
      <c r="Y24" s="2097"/>
      <c r="Z24" s="2097"/>
      <c r="AA24" s="2098"/>
    </row>
    <row r="25" spans="1:64" ht="18.75" customHeight="1" x14ac:dyDescent="0.25">
      <c r="A25" s="2095"/>
      <c r="B25" s="2095"/>
      <c r="C25" s="2095"/>
      <c r="D25" s="2095"/>
      <c r="E25" s="2095"/>
      <c r="F25" s="2095"/>
      <c r="G25" s="1037"/>
      <c r="I25" s="2096" t="s">
        <v>1053</v>
      </c>
      <c r="J25" s="2097"/>
      <c r="K25" s="2097"/>
      <c r="L25" s="2098"/>
      <c r="N25" s="601"/>
      <c r="O25" s="21"/>
      <c r="P25" s="2096" t="s">
        <v>519</v>
      </c>
      <c r="Q25" s="2097"/>
      <c r="R25" s="2097"/>
      <c r="S25" s="2098"/>
      <c r="U25" s="601"/>
      <c r="W25" s="2096" t="s">
        <v>19</v>
      </c>
      <c r="X25" s="2097"/>
      <c r="Y25" s="2097"/>
      <c r="Z25" s="2097"/>
      <c r="AA25" s="2098"/>
    </row>
    <row r="26" spans="1:64" ht="6" customHeight="1" x14ac:dyDescent="0.25">
      <c r="A26" s="2095"/>
      <c r="B26" s="2095"/>
      <c r="C26" s="2095"/>
      <c r="D26" s="2095"/>
      <c r="E26" s="2095"/>
      <c r="F26" s="2095"/>
    </row>
    <row r="27" spans="1:64" ht="18.75" customHeight="1" x14ac:dyDescent="0.25">
      <c r="A27" s="2095" t="s">
        <v>1033</v>
      </c>
      <c r="B27" s="2095"/>
      <c r="C27" s="2095"/>
      <c r="D27" s="2095"/>
      <c r="E27" s="2095"/>
      <c r="F27" s="2095"/>
      <c r="G27" s="1037"/>
      <c r="H27" s="210"/>
      <c r="I27" s="2123" t="s">
        <v>1045</v>
      </c>
      <c r="J27" s="2124"/>
      <c r="K27" s="2124"/>
      <c r="L27" s="2124"/>
      <c r="M27" s="2124"/>
      <c r="N27" s="2124"/>
      <c r="O27" s="2124"/>
      <c r="P27" s="2124"/>
      <c r="Q27" s="2124"/>
      <c r="R27" s="2124"/>
      <c r="S27" s="2124"/>
      <c r="T27" s="2124"/>
      <c r="U27" s="2124"/>
      <c r="V27" s="2124"/>
      <c r="W27" s="2125"/>
      <c r="X27" s="210"/>
      <c r="Y27" s="2102"/>
      <c r="Z27" s="2103"/>
      <c r="AA27" s="2104"/>
    </row>
    <row r="28" spans="1:64" ht="6" customHeight="1" x14ac:dyDescent="0.25">
      <c r="A28" s="2095"/>
      <c r="B28" s="2095"/>
      <c r="C28" s="2095"/>
      <c r="D28" s="2095"/>
      <c r="E28" s="2095"/>
      <c r="F28" s="2095"/>
      <c r="G28" s="210"/>
      <c r="H28" s="210"/>
      <c r="I28" s="210"/>
      <c r="J28" s="210"/>
      <c r="K28" s="210"/>
      <c r="L28" s="210"/>
      <c r="M28" s="210"/>
      <c r="N28" s="210"/>
      <c r="O28" s="214"/>
      <c r="P28" s="210"/>
      <c r="Q28" s="210"/>
      <c r="R28" s="210"/>
      <c r="S28" s="210"/>
      <c r="T28" s="210"/>
      <c r="U28" s="210"/>
      <c r="V28" s="210"/>
      <c r="W28" s="210"/>
      <c r="X28" s="210"/>
      <c r="Y28" s="210"/>
      <c r="Z28" s="210"/>
      <c r="AA28" s="210"/>
    </row>
    <row r="29" spans="1:64" ht="18.75" customHeight="1" x14ac:dyDescent="0.25">
      <c r="A29" s="2095" t="s">
        <v>1040</v>
      </c>
      <c r="B29" s="2095"/>
      <c r="C29" s="2095"/>
      <c r="D29" s="2095"/>
      <c r="E29" s="2095"/>
      <c r="F29" s="2095"/>
      <c r="G29" s="1037"/>
      <c r="H29" s="210"/>
      <c r="I29" s="2123" t="s">
        <v>1041</v>
      </c>
      <c r="J29" s="2124"/>
      <c r="K29" s="2124"/>
      <c r="L29" s="2124"/>
      <c r="M29" s="2124"/>
      <c r="N29" s="2124"/>
      <c r="O29" s="2124"/>
      <c r="P29" s="2124"/>
      <c r="Q29" s="2124"/>
      <c r="R29" s="2124"/>
      <c r="S29" s="2124"/>
      <c r="T29" s="2124"/>
      <c r="U29" s="2124"/>
      <c r="V29" s="2124"/>
      <c r="W29" s="2125"/>
      <c r="X29" s="210"/>
      <c r="Y29" s="2102"/>
      <c r="Z29" s="2103"/>
      <c r="AA29" s="2104"/>
    </row>
    <row r="30" spans="1:64" ht="18.75" customHeight="1" x14ac:dyDescent="0.25">
      <c r="A30" s="2095" t="s">
        <v>640</v>
      </c>
      <c r="B30" s="2095"/>
      <c r="C30" s="2095"/>
      <c r="D30" s="2095"/>
      <c r="E30" s="2095"/>
      <c r="F30" s="2095"/>
      <c r="G30" s="1037"/>
      <c r="H30" s="210"/>
      <c r="I30" s="2123" t="s">
        <v>1042</v>
      </c>
      <c r="J30" s="2124"/>
      <c r="K30" s="2124"/>
      <c r="L30" s="2124"/>
      <c r="M30" s="2124"/>
      <c r="N30" s="2124"/>
      <c r="O30" s="2124"/>
      <c r="P30" s="2124"/>
      <c r="Q30" s="2124"/>
      <c r="R30" s="2124"/>
      <c r="S30" s="2124"/>
      <c r="T30" s="2124"/>
      <c r="U30" s="2124"/>
      <c r="V30" s="2124"/>
      <c r="W30" s="2125"/>
      <c r="X30" s="210"/>
      <c r="Y30" s="2102"/>
      <c r="Z30" s="2103"/>
      <c r="AA30" s="2104"/>
    </row>
    <row r="31" spans="1:64" ht="18.75" customHeight="1" x14ac:dyDescent="0.25">
      <c r="A31" s="2094" t="s">
        <v>1047</v>
      </c>
      <c r="B31" s="2094"/>
      <c r="C31" s="2094"/>
      <c r="D31" s="2094"/>
      <c r="E31" s="2094"/>
      <c r="G31" s="1039"/>
      <c r="H31" s="1038"/>
      <c r="I31" s="2099" t="s">
        <v>1054</v>
      </c>
      <c r="J31" s="2100"/>
      <c r="K31" s="2100"/>
      <c r="L31" s="2100"/>
      <c r="M31" s="2100"/>
      <c r="N31" s="2100"/>
      <c r="O31" s="2100"/>
      <c r="P31" s="2100"/>
      <c r="Q31" s="2100"/>
      <c r="R31" s="2100"/>
      <c r="S31" s="2100"/>
      <c r="T31" s="2100"/>
      <c r="U31" s="2100"/>
      <c r="V31" s="2100"/>
      <c r="W31" s="2101"/>
      <c r="X31" s="210"/>
      <c r="Y31" s="2102"/>
      <c r="Z31" s="2103"/>
      <c r="AA31" s="2104"/>
    </row>
    <row r="32" spans="1:64" ht="18.75" customHeight="1" x14ac:dyDescent="0.25">
      <c r="A32" s="2094" t="s">
        <v>1047</v>
      </c>
      <c r="B32" s="2094"/>
      <c r="C32" s="2094"/>
      <c r="D32" s="2094"/>
      <c r="E32" s="2094"/>
      <c r="G32" s="1039"/>
      <c r="H32" s="1038"/>
      <c r="I32" s="2099" t="s">
        <v>1048</v>
      </c>
      <c r="J32" s="2100"/>
      <c r="K32" s="2100"/>
      <c r="L32" s="2100"/>
      <c r="M32" s="2100"/>
      <c r="N32" s="2100"/>
      <c r="O32" s="2100"/>
      <c r="P32" s="2100"/>
      <c r="Q32" s="2100"/>
      <c r="R32" s="2100"/>
      <c r="S32" s="2100"/>
      <c r="T32" s="2100"/>
      <c r="U32" s="2100"/>
      <c r="V32" s="2100"/>
      <c r="W32" s="2101"/>
      <c r="X32" s="210"/>
      <c r="Y32" s="2102"/>
      <c r="Z32" s="2103"/>
      <c r="AA32" s="2104"/>
    </row>
    <row r="33" spans="1:27" ht="18.75" customHeight="1" x14ac:dyDescent="0.25">
      <c r="A33" s="2094" t="s">
        <v>1047</v>
      </c>
      <c r="B33" s="2094"/>
      <c r="C33" s="2094"/>
      <c r="D33" s="2094"/>
      <c r="E33" s="2094"/>
      <c r="G33" s="1039"/>
      <c r="H33" s="1038"/>
      <c r="I33" s="2099" t="s">
        <v>1049</v>
      </c>
      <c r="J33" s="2100"/>
      <c r="K33" s="2100"/>
      <c r="L33" s="2100"/>
      <c r="M33" s="2100"/>
      <c r="N33" s="2100"/>
      <c r="O33" s="2100"/>
      <c r="P33" s="2100"/>
      <c r="Q33" s="2100"/>
      <c r="R33" s="2100"/>
      <c r="S33" s="2100"/>
      <c r="T33" s="2100"/>
      <c r="U33" s="2100"/>
      <c r="V33" s="2100"/>
      <c r="W33" s="2101"/>
      <c r="X33" s="210"/>
      <c r="Y33" s="2102"/>
      <c r="Z33" s="2103"/>
      <c r="AA33" s="2104"/>
    </row>
    <row r="34" spans="1:27" ht="18.75" customHeight="1" x14ac:dyDescent="0.25">
      <c r="A34" s="2094" t="s">
        <v>1047</v>
      </c>
      <c r="B34" s="2094"/>
      <c r="C34" s="2094"/>
      <c r="D34" s="2094"/>
      <c r="E34" s="2094"/>
      <c r="G34" s="1039"/>
      <c r="H34" s="1038"/>
      <c r="I34" s="2099" t="s">
        <v>1050</v>
      </c>
      <c r="J34" s="2100"/>
      <c r="K34" s="2100"/>
      <c r="L34" s="2100"/>
      <c r="M34" s="2100"/>
      <c r="N34" s="2100"/>
      <c r="O34" s="2100"/>
      <c r="P34" s="2100"/>
      <c r="Q34" s="2100"/>
      <c r="R34" s="2100"/>
      <c r="S34" s="2100"/>
      <c r="T34" s="2100"/>
      <c r="U34" s="2100"/>
      <c r="V34" s="2100"/>
      <c r="W34" s="2101"/>
      <c r="X34" s="210"/>
      <c r="Y34" s="2102"/>
      <c r="Z34" s="2103"/>
      <c r="AA34" s="2104"/>
    </row>
    <row r="35" spans="1:27" ht="18.75" customHeight="1" x14ac:dyDescent="0.25">
      <c r="A35" s="2094" t="s">
        <v>1047</v>
      </c>
      <c r="B35" s="2094"/>
      <c r="C35" s="2094"/>
      <c r="D35" s="2094"/>
      <c r="E35" s="2094"/>
      <c r="G35" s="1039"/>
      <c r="H35" s="1038"/>
      <c r="I35" s="2099" t="s">
        <v>1051</v>
      </c>
      <c r="J35" s="2100"/>
      <c r="K35" s="2100"/>
      <c r="L35" s="2100"/>
      <c r="M35" s="2100"/>
      <c r="N35" s="2100"/>
      <c r="O35" s="2100"/>
      <c r="P35" s="2100"/>
      <c r="Q35" s="2100"/>
      <c r="R35" s="2100"/>
      <c r="S35" s="2100"/>
      <c r="T35" s="2100"/>
      <c r="U35" s="2100"/>
      <c r="V35" s="2100"/>
      <c r="W35" s="2101"/>
      <c r="X35" s="210"/>
      <c r="Y35" s="2102"/>
      <c r="Z35" s="2103"/>
      <c r="AA35" s="2104"/>
    </row>
    <row r="36" spans="1:27" ht="18.75" customHeight="1" x14ac:dyDescent="0.25">
      <c r="A36" s="2094" t="s">
        <v>1047</v>
      </c>
      <c r="B36" s="2094"/>
      <c r="C36" s="2094"/>
      <c r="D36" s="2094"/>
      <c r="E36" s="2094"/>
      <c r="G36" s="1039"/>
      <c r="H36" s="1038"/>
      <c r="I36" s="2099" t="s">
        <v>1052</v>
      </c>
      <c r="J36" s="2100"/>
      <c r="K36" s="2100"/>
      <c r="L36" s="2100"/>
      <c r="M36" s="2100"/>
      <c r="N36" s="2100"/>
      <c r="O36" s="2100"/>
      <c r="P36" s="2100"/>
      <c r="Q36" s="2100"/>
      <c r="R36" s="2100"/>
      <c r="S36" s="2100"/>
      <c r="T36" s="2100"/>
      <c r="U36" s="2100"/>
      <c r="V36" s="2100"/>
      <c r="W36" s="2101"/>
      <c r="X36" s="210"/>
      <c r="Y36" s="2102"/>
      <c r="Z36" s="2103"/>
      <c r="AA36" s="2104"/>
    </row>
    <row r="37" spans="1:27" ht="18.75" customHeight="1" x14ac:dyDescent="0.25">
      <c r="A37" s="1040"/>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row>
    <row r="38" spans="1:27" ht="18.75" customHeight="1" x14ac:dyDescent="0.25">
      <c r="A38" s="2095" t="s">
        <v>1004</v>
      </c>
      <c r="B38" s="2095"/>
      <c r="C38" s="2095"/>
      <c r="D38" s="2095"/>
      <c r="E38" s="2095"/>
      <c r="F38" s="2095"/>
      <c r="G38" s="1037"/>
      <c r="H38" s="210"/>
      <c r="I38" s="2123" t="s">
        <v>1043</v>
      </c>
      <c r="J38" s="2124"/>
      <c r="K38" s="2124"/>
      <c r="L38" s="2124"/>
      <c r="M38" s="2124"/>
      <c r="N38" s="2124"/>
      <c r="O38" s="2124"/>
      <c r="P38" s="2124"/>
      <c r="Q38" s="2124"/>
      <c r="R38" s="2124"/>
      <c r="S38" s="2124"/>
      <c r="T38" s="2124"/>
      <c r="U38" s="2124"/>
      <c r="V38" s="2124"/>
      <c r="W38" s="2125"/>
      <c r="X38" s="210"/>
      <c r="Y38" s="2102"/>
      <c r="Z38" s="2103"/>
      <c r="AA38" s="2104"/>
    </row>
    <row r="39" spans="1:27" ht="18.75" customHeight="1" x14ac:dyDescent="0.25">
      <c r="A39" s="2095" t="s">
        <v>771</v>
      </c>
      <c r="B39" s="2095"/>
      <c r="C39" s="2095"/>
      <c r="D39" s="2095"/>
      <c r="E39" s="2095"/>
      <c r="F39" s="2095"/>
      <c r="G39" s="1037"/>
      <c r="H39" s="210"/>
      <c r="I39" s="2123" t="s">
        <v>1044</v>
      </c>
      <c r="J39" s="2124"/>
      <c r="K39" s="2124"/>
      <c r="L39" s="2124"/>
      <c r="M39" s="2124"/>
      <c r="N39" s="2124"/>
      <c r="O39" s="2124"/>
      <c r="P39" s="2124"/>
      <c r="Q39" s="2124"/>
      <c r="R39" s="2124"/>
      <c r="S39" s="2124"/>
      <c r="T39" s="2124"/>
      <c r="U39" s="2124"/>
      <c r="V39" s="2124"/>
      <c r="W39" s="2125"/>
      <c r="X39" s="210"/>
      <c r="Y39" s="2102"/>
      <c r="Z39" s="2103"/>
      <c r="AA39" s="2104"/>
    </row>
    <row r="40" spans="1:27" ht="18.75" customHeight="1" x14ac:dyDescent="0.25">
      <c r="A40" s="2095" t="s">
        <v>643</v>
      </c>
      <c r="B40" s="2095"/>
      <c r="C40" s="2095"/>
      <c r="D40" s="2095"/>
      <c r="E40" s="2095"/>
      <c r="F40" s="2095"/>
      <c r="G40" s="1037"/>
      <c r="H40" s="210"/>
      <c r="I40" s="2123" t="e">
        <f>CONCATENATE("Request Financials from Accountant - ",SelfEmp!#REF!)</f>
        <v>#REF!</v>
      </c>
      <c r="J40" s="2124"/>
      <c r="K40" s="2124"/>
      <c r="L40" s="2124"/>
      <c r="M40" s="2124"/>
      <c r="N40" s="2124"/>
      <c r="O40" s="2124"/>
      <c r="P40" s="2124"/>
      <c r="Q40" s="2124"/>
      <c r="R40" s="2124"/>
      <c r="S40" s="2124"/>
      <c r="T40" s="2124"/>
      <c r="U40" s="2124"/>
      <c r="V40" s="2124"/>
      <c r="W40" s="2125"/>
      <c r="X40" s="210"/>
      <c r="Y40" s="2102"/>
      <c r="Z40" s="2103"/>
      <c r="AA40" s="2104"/>
    </row>
    <row r="41" spans="1:27" ht="18.75" customHeight="1" x14ac:dyDescent="0.25">
      <c r="A41" s="2095" t="s">
        <v>641</v>
      </c>
      <c r="B41" s="2095"/>
      <c r="C41" s="2095"/>
      <c r="D41" s="2095"/>
      <c r="E41" s="2095"/>
      <c r="F41" s="2095"/>
      <c r="G41" s="1037"/>
      <c r="H41" s="210"/>
      <c r="I41" s="2123"/>
      <c r="J41" s="2124"/>
      <c r="K41" s="2124"/>
      <c r="L41" s="2124"/>
      <c r="M41" s="2124"/>
      <c r="N41" s="2124"/>
      <c r="O41" s="2124"/>
      <c r="P41" s="2124"/>
      <c r="Q41" s="2124"/>
      <c r="R41" s="2124"/>
      <c r="S41" s="2124"/>
      <c r="T41" s="2124"/>
      <c r="U41" s="2124"/>
      <c r="V41" s="2124"/>
      <c r="W41" s="2125"/>
      <c r="X41" s="210"/>
      <c r="Y41" s="2102"/>
      <c r="Z41" s="2103"/>
      <c r="AA41" s="2104"/>
    </row>
    <row r="42" spans="1:27" ht="18.75" customHeight="1" x14ac:dyDescent="0.25">
      <c r="A42" s="2095" t="s">
        <v>1034</v>
      </c>
      <c r="B42" s="2095"/>
      <c r="C42" s="2095"/>
      <c r="D42" s="2095"/>
      <c r="E42" s="2095"/>
      <c r="F42" s="2095"/>
      <c r="G42" s="1037"/>
      <c r="H42" s="210"/>
      <c r="I42" s="2123" t="s">
        <v>1046</v>
      </c>
      <c r="J42" s="2124"/>
      <c r="K42" s="2124"/>
      <c r="L42" s="2124"/>
      <c r="M42" s="2124"/>
      <c r="N42" s="2124"/>
      <c r="O42" s="2124"/>
      <c r="P42" s="2124"/>
      <c r="Q42" s="2124"/>
      <c r="R42" s="2124"/>
      <c r="S42" s="2124"/>
      <c r="T42" s="2124"/>
      <c r="U42" s="2124"/>
      <c r="V42" s="2124"/>
      <c r="W42" s="2125"/>
      <c r="X42" s="210"/>
      <c r="Y42" s="2102"/>
      <c r="Z42" s="2103"/>
      <c r="AA42" s="2104"/>
    </row>
    <row r="43" spans="1:27" ht="18.75" customHeight="1" x14ac:dyDescent="0.25">
      <c r="A43" s="2095"/>
      <c r="B43" s="2095"/>
      <c r="C43" s="2095"/>
      <c r="D43" s="2095"/>
      <c r="E43" s="2095"/>
      <c r="F43" s="2095"/>
      <c r="G43" s="210"/>
      <c r="H43" s="210"/>
      <c r="I43" s="210"/>
      <c r="J43" s="210"/>
      <c r="K43" s="210"/>
      <c r="L43" s="210"/>
      <c r="M43" s="210"/>
      <c r="N43" s="210"/>
      <c r="O43" s="214"/>
      <c r="P43" s="210"/>
      <c r="Q43" s="210"/>
      <c r="R43" s="210"/>
      <c r="S43" s="210"/>
      <c r="T43" s="210"/>
      <c r="U43" s="210"/>
      <c r="V43" s="210"/>
      <c r="W43" s="210"/>
      <c r="X43" s="210"/>
      <c r="Y43" s="210"/>
      <c r="Z43" s="210"/>
      <c r="AA43" s="210"/>
    </row>
    <row r="44" spans="1:27" ht="18.75" customHeight="1" x14ac:dyDescent="0.25">
      <c r="A44" s="2095" t="s">
        <v>642</v>
      </c>
      <c r="B44" s="2095"/>
      <c r="C44" s="2095"/>
      <c r="D44" s="2095"/>
      <c r="E44" s="2095"/>
      <c r="F44" s="2095"/>
      <c r="G44" s="1037"/>
      <c r="H44" s="210"/>
      <c r="I44" s="2123"/>
      <c r="J44" s="2124"/>
      <c r="K44" s="2124"/>
      <c r="L44" s="2124"/>
      <c r="M44" s="2124"/>
      <c r="N44" s="2124"/>
      <c r="O44" s="2124"/>
      <c r="P44" s="2124"/>
      <c r="Q44" s="2124"/>
      <c r="R44" s="2124"/>
      <c r="S44" s="2124"/>
      <c r="T44" s="2124"/>
      <c r="U44" s="2124"/>
      <c r="V44" s="2124"/>
      <c r="W44" s="2125"/>
      <c r="X44" s="210"/>
      <c r="Y44" s="2102"/>
      <c r="Z44" s="2103"/>
      <c r="AA44" s="2104"/>
    </row>
    <row r="45" spans="1:27" ht="18.75" customHeight="1" x14ac:dyDescent="0.25">
      <c r="A45" s="2095" t="s">
        <v>666</v>
      </c>
      <c r="B45" s="2095"/>
      <c r="C45" s="2095"/>
      <c r="D45" s="2095"/>
      <c r="E45" s="2095"/>
      <c r="F45" s="2095"/>
      <c r="G45" s="1037"/>
      <c r="H45" s="210"/>
      <c r="I45" s="2123"/>
      <c r="J45" s="2124"/>
      <c r="K45" s="2124"/>
      <c r="L45" s="2124"/>
      <c r="M45" s="2124"/>
      <c r="N45" s="2124"/>
      <c r="O45" s="2124"/>
      <c r="P45" s="2124"/>
      <c r="Q45" s="2124"/>
      <c r="R45" s="2124"/>
      <c r="S45" s="2124"/>
      <c r="T45" s="2124"/>
      <c r="U45" s="2124"/>
      <c r="V45" s="2124"/>
      <c r="W45" s="2125"/>
      <c r="X45" s="210"/>
      <c r="Y45" s="2102"/>
      <c r="Z45" s="2103"/>
      <c r="AA45" s="2104"/>
    </row>
    <row r="46" spans="1:27" ht="18.75" customHeight="1" x14ac:dyDescent="0.25">
      <c r="A46" s="2095"/>
      <c r="B46" s="2095"/>
      <c r="C46" s="2095"/>
      <c r="D46" s="2095"/>
      <c r="E46" s="2095"/>
      <c r="F46" s="2095"/>
      <c r="G46" s="210"/>
      <c r="H46" s="210"/>
      <c r="I46" s="210"/>
      <c r="J46" s="210"/>
      <c r="K46" s="210"/>
      <c r="L46" s="210"/>
      <c r="M46" s="210"/>
      <c r="N46" s="210"/>
      <c r="O46" s="214"/>
      <c r="P46" s="210"/>
      <c r="Q46" s="210"/>
      <c r="R46" s="210"/>
      <c r="S46" s="210"/>
      <c r="T46" s="210"/>
      <c r="U46" s="210"/>
      <c r="V46" s="210"/>
      <c r="W46" s="210"/>
      <c r="X46" s="210"/>
      <c r="Y46" s="210"/>
      <c r="Z46" s="210"/>
      <c r="AA46" s="210"/>
    </row>
    <row r="47" spans="1:27" ht="18.75" customHeight="1" x14ac:dyDescent="0.25">
      <c r="A47" s="2095" t="s">
        <v>19</v>
      </c>
      <c r="B47" s="2095"/>
      <c r="C47" s="2095"/>
      <c r="D47" s="2095"/>
      <c r="E47" s="2095"/>
      <c r="F47" s="2095"/>
      <c r="G47" s="1037"/>
      <c r="H47" s="210"/>
      <c r="I47" s="2123"/>
      <c r="J47" s="2124"/>
      <c r="K47" s="2124"/>
      <c r="L47" s="2124"/>
      <c r="M47" s="2124"/>
      <c r="N47" s="2124"/>
      <c r="O47" s="2124"/>
      <c r="P47" s="2124"/>
      <c r="Q47" s="2124"/>
      <c r="R47" s="2124"/>
      <c r="S47" s="2124"/>
      <c r="T47" s="2124"/>
      <c r="U47" s="2124"/>
      <c r="V47" s="2124"/>
      <c r="W47" s="2125"/>
      <c r="X47" s="210"/>
      <c r="Y47" s="2102"/>
      <c r="Z47" s="2103"/>
      <c r="AA47" s="2104"/>
    </row>
    <row r="48" spans="1:27" ht="18.75" customHeight="1" x14ac:dyDescent="0.25">
      <c r="A48" s="2095" t="s">
        <v>19</v>
      </c>
      <c r="B48" s="2095"/>
      <c r="C48" s="2095"/>
      <c r="D48" s="2095"/>
      <c r="E48" s="2095"/>
      <c r="F48" s="2095"/>
      <c r="G48" s="1037"/>
      <c r="H48" s="210"/>
      <c r="I48" s="2123"/>
      <c r="J48" s="2124"/>
      <c r="K48" s="2124"/>
      <c r="L48" s="2124"/>
      <c r="M48" s="2124"/>
      <c r="N48" s="2124"/>
      <c r="O48" s="2124"/>
      <c r="P48" s="2124"/>
      <c r="Q48" s="2124"/>
      <c r="R48" s="2124"/>
      <c r="S48" s="2124"/>
      <c r="T48" s="2124"/>
      <c r="U48" s="2124"/>
      <c r="V48" s="2124"/>
      <c r="W48" s="2125"/>
      <c r="X48" s="210"/>
      <c r="Y48" s="2102"/>
      <c r="Z48" s="2103"/>
      <c r="AA48" s="2104"/>
    </row>
  </sheetData>
  <mergeCells count="133">
    <mergeCell ref="AC1:AZ1"/>
    <mergeCell ref="A7:F7"/>
    <mergeCell ref="Y7:AA7"/>
    <mergeCell ref="M7:Q7"/>
    <mergeCell ref="S7:W7"/>
    <mergeCell ref="B4:F4"/>
    <mergeCell ref="H4:J4"/>
    <mergeCell ref="S4:U4"/>
    <mergeCell ref="V4:Z4"/>
    <mergeCell ref="B5:Z5"/>
    <mergeCell ref="A2:AA2"/>
    <mergeCell ref="B3:F3"/>
    <mergeCell ref="H3:R3"/>
    <mergeCell ref="S3:U3"/>
    <mergeCell ref="V3:AA3"/>
    <mergeCell ref="G7:K7"/>
    <mergeCell ref="Q21:AA21"/>
    <mergeCell ref="A27:F27"/>
    <mergeCell ref="M18:Q18"/>
    <mergeCell ref="S18:W18"/>
    <mergeCell ref="W24:AA24"/>
    <mergeCell ref="W23:AA23"/>
    <mergeCell ref="A26:F26"/>
    <mergeCell ref="I23:L23"/>
    <mergeCell ref="I24:L24"/>
    <mergeCell ref="A23:F23"/>
    <mergeCell ref="P24:S24"/>
    <mergeCell ref="A24:F24"/>
    <mergeCell ref="P23:S23"/>
    <mergeCell ref="A19:F19"/>
    <mergeCell ref="G19:K19"/>
    <mergeCell ref="A18:F18"/>
    <mergeCell ref="G18:K18"/>
    <mergeCell ref="M19:Q19"/>
    <mergeCell ref="S19:W19"/>
    <mergeCell ref="A39:F39"/>
    <mergeCell ref="Y29:AA29"/>
    <mergeCell ref="Y39:AA39"/>
    <mergeCell ref="I27:W27"/>
    <mergeCell ref="I42:W42"/>
    <mergeCell ref="I29:W29"/>
    <mergeCell ref="I30:W30"/>
    <mergeCell ref="I39:W39"/>
    <mergeCell ref="Y30:AA30"/>
    <mergeCell ref="Y42:AA42"/>
    <mergeCell ref="A28:F28"/>
    <mergeCell ref="A42:F42"/>
    <mergeCell ref="Y27:AA27"/>
    <mergeCell ref="A30:F30"/>
    <mergeCell ref="A29:F29"/>
    <mergeCell ref="A38:F38"/>
    <mergeCell ref="I38:W38"/>
    <mergeCell ref="Y38:AA38"/>
    <mergeCell ref="I32:W32"/>
    <mergeCell ref="Y32:AA32"/>
    <mergeCell ref="A32:E32"/>
    <mergeCell ref="A33:E33"/>
    <mergeCell ref="A34:E34"/>
    <mergeCell ref="A35:E35"/>
    <mergeCell ref="A48:F48"/>
    <mergeCell ref="I48:W48"/>
    <mergeCell ref="Y48:AA48"/>
    <mergeCell ref="A40:F40"/>
    <mergeCell ref="I40:W40"/>
    <mergeCell ref="Y40:AA40"/>
    <mergeCell ref="A44:F44"/>
    <mergeCell ref="I44:W44"/>
    <mergeCell ref="Y44:AA44"/>
    <mergeCell ref="A47:F47"/>
    <mergeCell ref="I47:W47"/>
    <mergeCell ref="Y47:AA47"/>
    <mergeCell ref="A41:F41"/>
    <mergeCell ref="I41:W41"/>
    <mergeCell ref="Y41:AA41"/>
    <mergeCell ref="A45:F45"/>
    <mergeCell ref="A43:F43"/>
    <mergeCell ref="A46:F46"/>
    <mergeCell ref="I45:W45"/>
    <mergeCell ref="Y45:AA45"/>
    <mergeCell ref="G8:K8"/>
    <mergeCell ref="M8:Q8"/>
    <mergeCell ref="S8:W8"/>
    <mergeCell ref="Y12:AA12"/>
    <mergeCell ref="M12:Q12"/>
    <mergeCell ref="G12:K12"/>
    <mergeCell ref="S12:W12"/>
    <mergeCell ref="G10:K10"/>
    <mergeCell ref="M10:Q10"/>
    <mergeCell ref="S10:W10"/>
    <mergeCell ref="Y8:AA8"/>
    <mergeCell ref="G11:K11"/>
    <mergeCell ref="M11:Q11"/>
    <mergeCell ref="S11:W11"/>
    <mergeCell ref="A10:E10"/>
    <mergeCell ref="Y17:AA17"/>
    <mergeCell ref="P17:Q17"/>
    <mergeCell ref="M13:O13"/>
    <mergeCell ref="M14:O14"/>
    <mergeCell ref="M17:O17"/>
    <mergeCell ref="A12:F12"/>
    <mergeCell ref="A17:F17"/>
    <mergeCell ref="A13:F13"/>
    <mergeCell ref="A14:F14"/>
    <mergeCell ref="S13:U13"/>
    <mergeCell ref="V17:W17"/>
    <mergeCell ref="S14:U14"/>
    <mergeCell ref="S17:U17"/>
    <mergeCell ref="G13:I13"/>
    <mergeCell ref="G14:I14"/>
    <mergeCell ref="G17:I17"/>
    <mergeCell ref="J17:K17"/>
    <mergeCell ref="G15:K15"/>
    <mergeCell ref="M15:Q15"/>
    <mergeCell ref="S15:W15"/>
    <mergeCell ref="G16:I16"/>
    <mergeCell ref="M16:O16"/>
    <mergeCell ref="S16:U16"/>
    <mergeCell ref="A36:E36"/>
    <mergeCell ref="A25:F25"/>
    <mergeCell ref="I25:L25"/>
    <mergeCell ref="P25:S25"/>
    <mergeCell ref="W25:AA25"/>
    <mergeCell ref="A31:E31"/>
    <mergeCell ref="I31:W31"/>
    <mergeCell ref="Y31:AA31"/>
    <mergeCell ref="I36:W36"/>
    <mergeCell ref="Y36:AA36"/>
    <mergeCell ref="I35:W35"/>
    <mergeCell ref="Y35:AA35"/>
    <mergeCell ref="I33:W33"/>
    <mergeCell ref="Y33:AA33"/>
    <mergeCell ref="I34:W34"/>
    <mergeCell ref="Y34:AA34"/>
  </mergeCells>
  <conditionalFormatting sqref="K13:K14">
    <cfRule type="expression" dxfId="100" priority="17">
      <formula>J13=""</formula>
    </cfRule>
  </conditionalFormatting>
  <conditionalFormatting sqref="Q13">
    <cfRule type="expression" dxfId="99" priority="16">
      <formula>P13=""</formula>
    </cfRule>
  </conditionalFormatting>
  <conditionalFormatting sqref="Q14">
    <cfRule type="expression" dxfId="98" priority="15">
      <formula>P14=""</formula>
    </cfRule>
  </conditionalFormatting>
  <conditionalFormatting sqref="W13">
    <cfRule type="expression" dxfId="97" priority="14">
      <formula>V13=""</formula>
    </cfRule>
  </conditionalFormatting>
  <conditionalFormatting sqref="W14">
    <cfRule type="expression" dxfId="96" priority="13">
      <formula>V14=""</formula>
    </cfRule>
  </conditionalFormatting>
  <conditionalFormatting sqref="K16">
    <cfRule type="expression" dxfId="95" priority="12">
      <formula>J16=""</formula>
    </cfRule>
  </conditionalFormatting>
  <conditionalFormatting sqref="Q16">
    <cfRule type="expression" dxfId="94" priority="11">
      <formula>P16=""</formula>
    </cfRule>
  </conditionalFormatting>
  <conditionalFormatting sqref="W16">
    <cfRule type="expression" dxfId="93" priority="10">
      <formula>V16=""</formula>
    </cfRule>
  </conditionalFormatting>
  <conditionalFormatting sqref="G38">
    <cfRule type="iconSet" priority="8">
      <iconSet iconSet="3Symbols2" showValue="0">
        <cfvo type="percent" val="0"/>
        <cfvo type="percent" val="33"/>
        <cfvo type="percent" val="67"/>
      </iconSet>
    </cfRule>
  </conditionalFormatting>
  <conditionalFormatting sqref="G29:G30 G23:G24 G27 G44:G45 G47:G48 N23:N24 U23:U24 G39:G42">
    <cfRule type="iconSet" priority="454">
      <iconSet iconSet="3Symbols2" showValue="0">
        <cfvo type="percent" val="0"/>
        <cfvo type="percent" val="33"/>
        <cfvo type="percent" val="67"/>
      </iconSet>
    </cfRule>
  </conditionalFormatting>
  <conditionalFormatting sqref="G32:G36">
    <cfRule type="iconSet" priority="7">
      <iconSet iconSet="3Symbols2" showValue="0">
        <cfvo type="percent" val="0"/>
        <cfvo type="percent" val="33"/>
        <cfvo type="percent" val="67"/>
      </iconSet>
    </cfRule>
  </conditionalFormatting>
  <conditionalFormatting sqref="G25 N25 U25">
    <cfRule type="iconSet" priority="2">
      <iconSet iconSet="3Symbols2" showValue="0">
        <cfvo type="percent" val="0"/>
        <cfvo type="percent" val="33"/>
        <cfvo type="percent" val="67"/>
      </iconSet>
    </cfRule>
  </conditionalFormatting>
  <conditionalFormatting sqref="G31">
    <cfRule type="iconSet" priority="1">
      <iconSet iconSet="3Symbols2" showValue="0">
        <cfvo type="percent" val="0"/>
        <cfvo type="percent" val="33"/>
        <cfvo type="percent" val="67"/>
      </iconSet>
    </cfRule>
  </conditionalFormatting>
  <pageMargins left="0.23622047244094491" right="0.23622047244094491" top="0.74803149606299213" bottom="0.74803149606299213" header="0.31496062992125984" footer="0.39370078740157483"/>
  <pageSetup paperSize="9" scale="93" orientation="portrait" r:id="rId1"/>
  <headerFooter>
    <oddHeader>&amp;R&amp;G</oddHeader>
    <oddFooter>&amp;RPrepared by Robert Ward &amp;D
Page &amp;P</odd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Settings!$I$2:$I$67</xm:f>
          </x14:formula1>
          <xm:sqref>G7:K7 S7:W7 M7:Q7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52"/>
  <sheetViews>
    <sheetView showGridLines="0" showRowColHeaders="0" showRuler="0" zoomScaleNormal="100" zoomScalePageLayoutView="106" workbookViewId="0">
      <selection activeCell="AD24" sqref="AD24"/>
    </sheetView>
  </sheetViews>
  <sheetFormatPr defaultColWidth="3.5703125" defaultRowHeight="18.75" customHeight="1" x14ac:dyDescent="0.25"/>
  <cols>
    <col min="1" max="1" width="22.42578125" style="462" customWidth="1"/>
    <col min="2" max="2" width="13.28515625" style="461" bestFit="1" customWidth="1"/>
    <col min="3" max="3" width="5.85546875" style="461" customWidth="1"/>
    <col min="4" max="5" width="11.7109375" style="461" bestFit="1" customWidth="1"/>
    <col min="6" max="6" width="10.5703125" style="461" bestFit="1" customWidth="1"/>
    <col min="7" max="7" width="9.85546875" style="461" bestFit="1" customWidth="1"/>
    <col min="8" max="8" width="3.5703125" style="453"/>
    <col min="9" max="16" width="3.5703125" style="457"/>
    <col min="17" max="17" width="3.5703125" style="458"/>
    <col min="18" max="21" width="3.5703125" style="457"/>
    <col min="22" max="27" width="3.5703125" style="444"/>
    <col min="28" max="29" width="3.5703125" style="444" customWidth="1"/>
    <col min="30" max="31" width="10.5703125" style="445" customWidth="1"/>
    <col min="32" max="40" width="3.5703125" style="445" customWidth="1"/>
    <col min="41" max="41" width="8.5703125" style="445" customWidth="1"/>
    <col min="42" max="42" width="11.28515625" style="445" customWidth="1"/>
    <col min="43" max="43" width="3.5703125" style="445" customWidth="1"/>
    <col min="44" max="46" width="8.5703125" style="445" customWidth="1"/>
    <col min="47" max="47" width="3.5703125" style="446" customWidth="1"/>
    <col min="48" max="86" width="3.5703125" style="444"/>
    <col min="87" max="16384" width="3.5703125" style="24"/>
  </cols>
  <sheetData>
    <row r="1" spans="1:86" ht="48" customHeight="1" x14ac:dyDescent="0.25">
      <c r="A1" s="782" t="s">
        <v>1157</v>
      </c>
      <c r="B1" s="782"/>
      <c r="C1" s="782"/>
      <c r="D1" s="782"/>
      <c r="E1" s="782"/>
      <c r="F1" s="782"/>
      <c r="G1" s="782"/>
      <c r="H1" s="454"/>
      <c r="J1" s="699" t="s">
        <v>434</v>
      </c>
      <c r="K1" s="699"/>
      <c r="L1" s="699"/>
      <c r="M1" s="699"/>
      <c r="N1" s="699"/>
      <c r="O1" s="699"/>
      <c r="P1" s="699"/>
      <c r="Q1" s="699"/>
      <c r="R1" s="699"/>
      <c r="S1" s="699"/>
      <c r="T1" s="699"/>
      <c r="U1" s="699"/>
      <c r="V1" s="699"/>
      <c r="W1" s="699"/>
      <c r="X1" s="699"/>
      <c r="Y1" s="699"/>
      <c r="Z1" s="699"/>
      <c r="AA1" s="699"/>
      <c r="AB1" s="699"/>
      <c r="AC1" s="699"/>
      <c r="AD1" s="699"/>
      <c r="AE1" s="699"/>
      <c r="AF1" s="699"/>
      <c r="AG1" s="699"/>
    </row>
    <row r="2" spans="1:86" s="27" customFormat="1" ht="11.25" x14ac:dyDescent="0.2">
      <c r="A2" s="700"/>
      <c r="B2" s="700"/>
      <c r="C2" s="700"/>
      <c r="D2" s="700"/>
      <c r="E2" s="700"/>
      <c r="F2" s="700"/>
      <c r="G2" s="700"/>
      <c r="H2" s="701"/>
      <c r="I2" s="702"/>
      <c r="J2" s="702"/>
      <c r="K2" s="702"/>
      <c r="L2" s="702"/>
      <c r="M2" s="702"/>
      <c r="N2" s="702"/>
      <c r="O2" s="702"/>
      <c r="P2" s="702"/>
      <c r="Q2" s="702"/>
      <c r="R2" s="702"/>
      <c r="S2" s="703"/>
      <c r="T2" s="703"/>
      <c r="U2" s="703"/>
      <c r="V2" s="153"/>
      <c r="W2" s="153"/>
      <c r="X2" s="153"/>
      <c r="Y2" s="153"/>
      <c r="Z2" s="153"/>
      <c r="AA2" s="153"/>
      <c r="AB2" s="153"/>
      <c r="AC2" s="153"/>
      <c r="AD2" s="704"/>
      <c r="AE2" s="704"/>
      <c r="AF2" s="704"/>
      <c r="AG2" s="704"/>
      <c r="AH2" s="704"/>
      <c r="AI2" s="704"/>
      <c r="AJ2" s="704"/>
      <c r="AK2" s="704"/>
      <c r="AL2" s="704"/>
      <c r="AM2" s="704"/>
      <c r="AN2" s="660"/>
      <c r="AO2" s="660"/>
      <c r="AP2" s="660"/>
      <c r="AQ2" s="660"/>
      <c r="AR2" s="660"/>
      <c r="AS2" s="660"/>
      <c r="AT2" s="660"/>
      <c r="AU2" s="660"/>
      <c r="AV2" s="705"/>
      <c r="AW2" s="705"/>
      <c r="AX2" s="705"/>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row>
    <row r="3" spans="1:86" ht="15" x14ac:dyDescent="0.25">
      <c r="A3" s="687" t="s">
        <v>669</v>
      </c>
      <c r="B3" s="1726" t="str">
        <f>+Profile!BE8</f>
        <v xml:space="preserve"> </v>
      </c>
      <c r="C3" s="1726"/>
      <c r="D3" s="1726"/>
      <c r="E3" s="1726"/>
      <c r="F3" s="1726"/>
      <c r="G3" s="1726"/>
      <c r="H3" s="454"/>
      <c r="I3" s="459"/>
      <c r="J3" s="459"/>
      <c r="K3" s="459"/>
      <c r="L3" s="459"/>
      <c r="M3" s="459"/>
      <c r="N3" s="459"/>
      <c r="O3" s="459"/>
      <c r="P3" s="459"/>
      <c r="Q3" s="459"/>
      <c r="R3" s="459"/>
      <c r="S3" s="460"/>
      <c r="T3" s="460"/>
      <c r="U3" s="460"/>
      <c r="AD3" s="447"/>
      <c r="AE3" s="447"/>
      <c r="AF3" s="447"/>
      <c r="AG3" s="447"/>
      <c r="AH3" s="447"/>
      <c r="AI3" s="447"/>
      <c r="AJ3" s="447"/>
      <c r="AK3" s="447"/>
      <c r="AL3" s="447"/>
      <c r="AM3" s="447"/>
      <c r="AN3" s="447"/>
      <c r="AO3" s="447"/>
      <c r="AP3" s="447"/>
      <c r="AQ3" s="447"/>
      <c r="AR3" s="448"/>
      <c r="AS3" s="448"/>
      <c r="AT3" s="448"/>
      <c r="AU3" s="447"/>
      <c r="AV3" s="131"/>
      <c r="AW3" s="131"/>
      <c r="AX3" s="131"/>
    </row>
    <row r="4" spans="1:86" s="74" customFormat="1" ht="21" x14ac:dyDescent="0.25">
      <c r="A4" s="687"/>
      <c r="B4" s="1081" t="str">
        <f>+PurchaseLoanAmount</f>
        <v/>
      </c>
      <c r="C4" s="1085"/>
      <c r="D4" s="1085"/>
      <c r="E4" s="1085"/>
      <c r="F4" s="1085"/>
      <c r="G4" s="1085"/>
      <c r="H4" s="454"/>
      <c r="I4" s="459"/>
      <c r="J4" s="459"/>
      <c r="K4" s="459"/>
      <c r="L4" s="459"/>
      <c r="M4" s="459"/>
      <c r="N4" s="459"/>
      <c r="O4" s="459"/>
      <c r="P4" s="459"/>
      <c r="Q4" s="459"/>
      <c r="R4" s="459"/>
      <c r="S4" s="460"/>
      <c r="T4" s="460"/>
      <c r="U4" s="460"/>
      <c r="V4" s="444"/>
      <c r="W4" s="444"/>
      <c r="X4" s="444"/>
      <c r="Y4" s="444"/>
      <c r="Z4" s="444"/>
      <c r="AA4" s="444"/>
      <c r="AB4" s="441"/>
      <c r="AC4" s="441"/>
      <c r="AD4" s="174"/>
      <c r="AE4" s="174"/>
      <c r="AF4" s="174"/>
      <c r="AG4" s="174"/>
      <c r="AH4" s="174"/>
      <c r="AI4" s="174"/>
      <c r="AJ4" s="174"/>
      <c r="AK4" s="174"/>
      <c r="AL4" s="174"/>
      <c r="AM4" s="174"/>
      <c r="AN4" s="447"/>
      <c r="AO4" s="447"/>
      <c r="AP4" s="447"/>
      <c r="AQ4" s="447"/>
      <c r="AR4" s="447"/>
      <c r="AS4" s="447"/>
      <c r="AT4" s="447"/>
      <c r="AU4" s="447"/>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row>
    <row r="5" spans="1:86" s="1" customFormat="1" ht="23.25" customHeight="1" x14ac:dyDescent="0.25">
      <c r="A5" s="887"/>
      <c r="B5" s="888"/>
      <c r="C5" s="888"/>
      <c r="D5" s="888"/>
      <c r="E5" s="888"/>
      <c r="F5" s="888"/>
      <c r="G5" s="888"/>
      <c r="H5" s="454"/>
      <c r="I5" s="459"/>
      <c r="J5" s="459"/>
      <c r="K5" s="459"/>
      <c r="L5" s="459"/>
      <c r="M5" s="459"/>
      <c r="N5" s="459"/>
      <c r="O5" s="459"/>
      <c r="P5" s="459"/>
      <c r="Q5" s="459"/>
      <c r="R5" s="459"/>
      <c r="S5" s="460"/>
      <c r="T5" s="460"/>
      <c r="U5" s="460"/>
      <c r="V5" s="444"/>
      <c r="W5" s="444"/>
      <c r="X5" s="444"/>
      <c r="Y5" s="444"/>
      <c r="Z5" s="444"/>
      <c r="AA5" s="444"/>
      <c r="AB5" s="442"/>
      <c r="AC5" s="443"/>
      <c r="AD5" s="180"/>
      <c r="AE5" s="176"/>
      <c r="AF5" s="2139"/>
      <c r="AG5" s="2139"/>
      <c r="AH5" s="2139"/>
      <c r="AI5" s="2140"/>
      <c r="AJ5" s="2140"/>
      <c r="AK5" s="2140"/>
      <c r="AL5" s="447"/>
      <c r="AM5" s="447"/>
      <c r="AN5" s="447"/>
      <c r="AO5" s="449"/>
      <c r="AP5" s="450"/>
      <c r="AQ5" s="447"/>
      <c r="AR5" s="451"/>
      <c r="AS5" s="451"/>
      <c r="AT5" s="451"/>
      <c r="AU5" s="447"/>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s="1" customFormat="1" ht="26.25" customHeight="1" thickBot="1" x14ac:dyDescent="0.3">
      <c r="A6" s="971" t="s">
        <v>1159</v>
      </c>
      <c r="B6" s="971"/>
      <c r="C6" s="971"/>
      <c r="D6" s="971"/>
      <c r="E6" s="971"/>
      <c r="F6" s="971"/>
      <c r="G6" s="971"/>
      <c r="H6" s="455"/>
      <c r="I6" s="459"/>
      <c r="J6" s="459"/>
      <c r="K6" s="459"/>
      <c r="L6" s="459"/>
      <c r="M6" s="459"/>
      <c r="N6" s="459"/>
      <c r="O6" s="459"/>
      <c r="P6" s="459"/>
      <c r="Q6" s="459"/>
      <c r="R6" s="459"/>
      <c r="S6" s="460"/>
      <c r="T6" s="460"/>
      <c r="U6" s="460"/>
      <c r="V6" s="444"/>
      <c r="W6" s="444"/>
      <c r="X6" s="444"/>
      <c r="Y6" s="444"/>
      <c r="Z6" s="444"/>
      <c r="AA6" s="444"/>
      <c r="AB6" s="442"/>
      <c r="AC6" s="151"/>
      <c r="AD6" s="1082"/>
      <c r="AE6" s="1083"/>
      <c r="AF6" s="2137"/>
      <c r="AG6" s="2137"/>
      <c r="AH6" s="2137"/>
      <c r="AI6" s="2138"/>
      <c r="AJ6" s="2138"/>
      <c r="AK6" s="2138"/>
      <c r="AL6" s="447"/>
      <c r="AM6" s="447"/>
      <c r="AN6" s="447"/>
      <c r="AO6" s="449"/>
      <c r="AP6" s="450"/>
      <c r="AQ6" s="447"/>
      <c r="AR6" s="451"/>
      <c r="AS6" s="451"/>
      <c r="AT6" s="451"/>
      <c r="AU6" s="447"/>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row>
    <row r="7" spans="1:86" s="665" customFormat="1" ht="18.75" customHeight="1" thickTop="1" x14ac:dyDescent="0.25">
      <c r="A7" s="975" t="s">
        <v>1158</v>
      </c>
      <c r="B7" s="1289" t="e">
        <f>+'A&amp;L'!P7:Q7</f>
        <v>#VALUE!</v>
      </c>
      <c r="C7" s="1289"/>
      <c r="D7" s="1289" t="s">
        <v>428</v>
      </c>
      <c r="E7" s="1289"/>
      <c r="F7" s="1289"/>
      <c r="G7" s="1289"/>
      <c r="H7" s="901"/>
      <c r="I7" s="459"/>
      <c r="J7" s="459"/>
      <c r="K7" s="459"/>
      <c r="L7" s="459"/>
      <c r="M7" s="459"/>
      <c r="N7" s="459"/>
      <c r="O7" s="459"/>
      <c r="P7" s="459"/>
      <c r="Q7" s="459"/>
      <c r="R7" s="459"/>
      <c r="S7" s="902"/>
      <c r="T7" s="902"/>
      <c r="U7" s="902"/>
      <c r="V7" s="903"/>
      <c r="W7" s="903"/>
      <c r="X7" s="903"/>
      <c r="Y7" s="903"/>
      <c r="Z7" s="903"/>
      <c r="AA7" s="903"/>
      <c r="AB7" s="904"/>
      <c r="AC7" s="905"/>
      <c r="AD7" s="906"/>
      <c r="AE7" s="907"/>
      <c r="AF7" s="906"/>
      <c r="AG7" s="906"/>
      <c r="AH7" s="906"/>
      <c r="AI7" s="907"/>
      <c r="AJ7" s="907"/>
      <c r="AK7" s="907"/>
      <c r="AL7" s="908"/>
      <c r="AM7" s="908"/>
      <c r="AN7" s="908"/>
      <c r="AO7" s="909"/>
      <c r="AP7" s="910"/>
      <c r="AQ7" s="908"/>
      <c r="AR7" s="900"/>
      <c r="AS7" s="900"/>
      <c r="AT7" s="900"/>
      <c r="AU7" s="908"/>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row>
    <row r="8" spans="1:86" s="1" customFormat="1" ht="15.75" x14ac:dyDescent="0.25">
      <c r="A8" s="975" t="s">
        <v>49</v>
      </c>
      <c r="B8" s="1290" t="str">
        <f>+PurchaseLoanAmount</f>
        <v/>
      </c>
      <c r="C8" s="1291"/>
      <c r="D8" s="1292">
        <f>IF(+RefiData!E11=0,"",+RefiData!E11)</f>
        <v>800000</v>
      </c>
      <c r="E8" s="1292">
        <f>IF(+RefiData!E12=0,"",+RefiData!E12)</f>
        <v>250000</v>
      </c>
      <c r="F8" s="1292">
        <f>IF(+RefiData!E13=0,"",+RefiData!E13)</f>
        <v>350000</v>
      </c>
      <c r="G8" s="1292" t="str">
        <f>IF(+RefiData!E14=0,"",+RefiData!E14)</f>
        <v/>
      </c>
      <c r="H8" s="895"/>
      <c r="I8" s="459"/>
      <c r="J8" s="459"/>
      <c r="K8" s="459"/>
      <c r="L8" s="459"/>
      <c r="M8" s="459"/>
      <c r="N8" s="459"/>
      <c r="O8" s="459"/>
      <c r="P8" s="459"/>
      <c r="Q8" s="459"/>
      <c r="R8" s="459"/>
      <c r="S8" s="896"/>
      <c r="T8" s="896"/>
      <c r="U8" s="896"/>
      <c r="V8" s="444"/>
      <c r="W8" s="444"/>
      <c r="X8" s="444"/>
      <c r="Y8" s="444"/>
      <c r="Z8" s="444"/>
      <c r="AA8" s="444"/>
      <c r="AB8" s="897"/>
      <c r="AC8" s="151"/>
      <c r="AD8" s="1082"/>
      <c r="AE8" s="1083"/>
      <c r="AF8" s="2137"/>
      <c r="AG8" s="2137"/>
      <c r="AH8" s="2137"/>
      <c r="AI8" s="2138"/>
      <c r="AJ8" s="2138"/>
      <c r="AK8" s="2138"/>
      <c r="AL8" s="446"/>
      <c r="AM8" s="446"/>
      <c r="AN8" s="446"/>
      <c r="AO8" s="446"/>
      <c r="AP8" s="446"/>
      <c r="AQ8" s="446"/>
      <c r="AR8" s="446"/>
      <c r="AS8" s="446"/>
      <c r="AT8" s="446"/>
      <c r="AU8" s="446"/>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row>
    <row r="9" spans="1:86" s="1" customFormat="1" ht="15.75" x14ac:dyDescent="0.25">
      <c r="A9" s="975" t="s">
        <v>987</v>
      </c>
      <c r="B9" s="1293">
        <f>SUM(D10:G10)/SUM(D8:G8)</f>
        <v>4.4160714285714282E-2</v>
      </c>
      <c r="C9" s="1294"/>
      <c r="D9" s="1295">
        <f>IF(D8="","",(RefiData!H11+RefiData!I11))</f>
        <v>4.3999999999999997E-2</v>
      </c>
      <c r="E9" s="1295">
        <f>IF(E8="","",(RefiData!H12+RefiData!I12))</f>
        <v>4.3499999999999997E-2</v>
      </c>
      <c r="F9" s="1295">
        <f>IF(F8="","",(RefiData!H13+RefiData!I13))</f>
        <v>4.4999999999999998E-2</v>
      </c>
      <c r="G9" s="1295" t="str">
        <f>IF(G8="","",(RefiData!H14+RefiData!I14))</f>
        <v/>
      </c>
      <c r="H9" s="895"/>
      <c r="I9" s="459"/>
      <c r="J9" s="459"/>
      <c r="K9" s="459"/>
      <c r="L9" s="459"/>
      <c r="M9" s="459"/>
      <c r="N9" s="459"/>
      <c r="O9" s="459"/>
      <c r="P9" s="459"/>
      <c r="Q9" s="459"/>
      <c r="R9" s="459"/>
      <c r="S9" s="896"/>
      <c r="T9" s="896"/>
      <c r="U9" s="896"/>
      <c r="V9" s="444"/>
      <c r="W9" s="444"/>
      <c r="X9" s="444"/>
      <c r="Y9" s="444"/>
      <c r="Z9" s="444"/>
      <c r="AA9" s="444"/>
      <c r="AB9" s="897"/>
      <c r="AC9" s="151"/>
      <c r="AD9" s="1082"/>
      <c r="AE9" s="1083"/>
      <c r="AF9" s="2137"/>
      <c r="AG9" s="2137"/>
      <c r="AH9" s="2137"/>
      <c r="AI9" s="2138"/>
      <c r="AJ9" s="2138"/>
      <c r="AK9" s="2138"/>
      <c r="AL9" s="446"/>
      <c r="AM9" s="446"/>
      <c r="AN9" s="446"/>
      <c r="AO9" s="446"/>
      <c r="AP9" s="446"/>
      <c r="AQ9" s="446"/>
      <c r="AR9" s="911"/>
      <c r="AS9" s="911"/>
      <c r="AT9" s="900"/>
      <c r="AU9" s="446"/>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row>
    <row r="10" spans="1:86" s="1" customFormat="1" ht="15.75" x14ac:dyDescent="0.25">
      <c r="A10" s="975" t="s">
        <v>1306</v>
      </c>
      <c r="B10" s="1290">
        <f>SUM(C10:G10)</f>
        <v>61825</v>
      </c>
      <c r="C10" s="1294"/>
      <c r="D10" s="1292">
        <f t="shared" ref="D10:F10" si="0">IF(D8="","",+D8*D9)</f>
        <v>35200</v>
      </c>
      <c r="E10" s="1292">
        <f t="shared" si="0"/>
        <v>10875</v>
      </c>
      <c r="F10" s="1292">
        <f t="shared" si="0"/>
        <v>15750</v>
      </c>
      <c r="G10" s="1292" t="str">
        <f>IF(G8="","",+G8*G9)</f>
        <v/>
      </c>
      <c r="H10" s="895"/>
      <c r="I10" s="459"/>
      <c r="J10" s="459"/>
      <c r="K10" s="459"/>
      <c r="L10" s="459"/>
      <c r="M10" s="459"/>
      <c r="N10" s="459"/>
      <c r="O10" s="459"/>
      <c r="P10" s="459"/>
      <c r="Q10" s="459"/>
      <c r="R10" s="459"/>
      <c r="S10" s="896"/>
      <c r="T10" s="896"/>
      <c r="U10" s="896"/>
      <c r="V10" s="444"/>
      <c r="W10" s="444"/>
      <c r="X10" s="444"/>
      <c r="Y10" s="444"/>
      <c r="Z10" s="444"/>
      <c r="AA10" s="444"/>
      <c r="AB10" s="897"/>
      <c r="AC10" s="151"/>
      <c r="AD10" s="446"/>
      <c r="AE10" s="446"/>
      <c r="AF10" s="446"/>
      <c r="AG10" s="446"/>
      <c r="AH10" s="446"/>
      <c r="AI10" s="446"/>
      <c r="AJ10" s="446"/>
      <c r="AK10" s="446"/>
      <c r="AL10" s="446"/>
      <c r="AM10" s="446"/>
      <c r="AN10" s="446"/>
      <c r="AO10" s="446"/>
      <c r="AP10" s="446"/>
      <c r="AQ10" s="446"/>
      <c r="AR10" s="898"/>
      <c r="AS10" s="899"/>
      <c r="AT10" s="900"/>
      <c r="AU10" s="446"/>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row>
    <row r="11" spans="1:86" s="1" customFormat="1" ht="15.75" x14ac:dyDescent="0.25">
      <c r="A11" s="975"/>
      <c r="B11" s="1290"/>
      <c r="C11" s="1294"/>
      <c r="D11" s="1292"/>
      <c r="E11" s="1292"/>
      <c r="F11" s="1292"/>
      <c r="G11" s="1292"/>
      <c r="H11" s="895"/>
      <c r="I11" s="459"/>
      <c r="J11" s="459"/>
      <c r="K11" s="459"/>
      <c r="L11" s="459"/>
      <c r="M11" s="459"/>
      <c r="N11" s="459"/>
      <c r="O11" s="459"/>
      <c r="P11" s="459"/>
      <c r="Q11" s="459"/>
      <c r="R11" s="459"/>
      <c r="S11" s="896"/>
      <c r="T11" s="896"/>
      <c r="U11" s="896"/>
      <c r="V11" s="444"/>
      <c r="W11" s="444"/>
      <c r="X11" s="444"/>
      <c r="Y11" s="444"/>
      <c r="Z11" s="444"/>
      <c r="AA11" s="444"/>
      <c r="AB11" s="897"/>
      <c r="AC11" s="151"/>
      <c r="AD11" s="446"/>
      <c r="AE11" s="446"/>
      <c r="AF11" s="446"/>
      <c r="AG11" s="446"/>
      <c r="AH11" s="446"/>
      <c r="AI11" s="446"/>
      <c r="AJ11" s="446"/>
      <c r="AK11" s="446"/>
      <c r="AL11" s="446"/>
      <c r="AM11" s="446"/>
      <c r="AN11" s="446"/>
      <c r="AO11" s="446"/>
      <c r="AP11" s="446"/>
      <c r="AQ11" s="446"/>
      <c r="AR11" s="898"/>
      <c r="AS11" s="899"/>
      <c r="AT11" s="900"/>
      <c r="AU11" s="446"/>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row>
    <row r="12" spans="1:86" s="1" customFormat="1" ht="15.75" x14ac:dyDescent="0.25">
      <c r="A12" s="975" t="s">
        <v>1307</v>
      </c>
      <c r="B12" s="1290"/>
      <c r="C12" s="1294"/>
      <c r="D12" s="1296">
        <f>IF(MAX(RefiData!J11:K11)=0,"",MAX(RefiData!J11:K11))</f>
        <v>43454</v>
      </c>
      <c r="E12" s="1296" t="str">
        <f>IF(MAX(RefiData!J12:K12)=0,"",MAX(RefiData!J12:K12))</f>
        <v/>
      </c>
      <c r="F12" s="1296">
        <f>IF(MAX(RefiData!J13:K13)=0,"",MAX(RefiData!J13:K13))</f>
        <v>42786</v>
      </c>
      <c r="G12" s="1296" t="str">
        <f>IF(MAX(RefiData!J14:K14)=0,"",MAX(RefiData!J14:K14))</f>
        <v/>
      </c>
      <c r="H12" s="895"/>
      <c r="I12" s="459"/>
      <c r="J12" s="459"/>
      <c r="K12" s="459"/>
      <c r="L12" s="459"/>
      <c r="M12" s="459"/>
      <c r="N12" s="459"/>
      <c r="O12" s="459"/>
      <c r="P12" s="459"/>
      <c r="Q12" s="459"/>
      <c r="R12" s="459"/>
      <c r="S12" s="896"/>
      <c r="T12" s="896"/>
      <c r="U12" s="896"/>
      <c r="V12" s="444"/>
      <c r="W12" s="444"/>
      <c r="X12" s="444"/>
      <c r="Y12" s="444"/>
      <c r="Z12" s="444"/>
      <c r="AA12" s="444"/>
      <c r="AB12" s="897"/>
      <c r="AC12" s="151"/>
      <c r="AD12" s="446"/>
      <c r="AE12" s="446"/>
      <c r="AF12" s="446"/>
      <c r="AG12" s="446"/>
      <c r="AH12" s="446"/>
      <c r="AI12" s="446"/>
      <c r="AJ12" s="446"/>
      <c r="AK12" s="446"/>
      <c r="AL12" s="446"/>
      <c r="AM12" s="446"/>
      <c r="AN12" s="446"/>
      <c r="AO12" s="446"/>
      <c r="AP12" s="446"/>
      <c r="AQ12" s="446"/>
      <c r="AR12" s="898"/>
      <c r="AS12" s="899"/>
      <c r="AT12" s="900"/>
      <c r="AU12" s="446"/>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row>
    <row r="13" spans="1:86" s="917" customFormat="1" ht="15.75" x14ac:dyDescent="0.25">
      <c r="A13" s="975"/>
      <c r="B13" s="1290"/>
      <c r="C13" s="1294"/>
      <c r="D13" s="1296"/>
      <c r="E13" s="1294"/>
      <c r="F13" s="1294"/>
      <c r="G13" s="1294"/>
      <c r="H13" s="456"/>
      <c r="I13" s="913"/>
      <c r="J13" s="913"/>
      <c r="K13" s="913"/>
      <c r="L13" s="913"/>
      <c r="M13" s="913"/>
      <c r="N13" s="913"/>
      <c r="O13" s="913"/>
      <c r="P13" s="913"/>
      <c r="Q13" s="913"/>
      <c r="R13" s="913"/>
      <c r="S13" s="460"/>
      <c r="T13" s="460"/>
      <c r="U13" s="460"/>
      <c r="V13" s="914"/>
      <c r="W13" s="914"/>
      <c r="X13" s="914"/>
      <c r="Y13" s="914"/>
      <c r="Z13" s="914"/>
      <c r="AA13" s="914"/>
      <c r="AB13" s="442"/>
      <c r="AC13" s="771"/>
      <c r="AD13" s="915"/>
      <c r="AE13" s="915"/>
      <c r="AF13" s="915"/>
      <c r="AG13" s="915"/>
      <c r="AH13" s="915"/>
      <c r="AI13" s="915"/>
      <c r="AJ13" s="915"/>
      <c r="AK13" s="915"/>
      <c r="AL13" s="915"/>
      <c r="AM13" s="915"/>
      <c r="AN13" s="915"/>
      <c r="AO13" s="915"/>
      <c r="AP13" s="915"/>
      <c r="AQ13" s="915"/>
      <c r="AR13" s="184"/>
      <c r="AS13" s="452"/>
      <c r="AT13" s="183"/>
      <c r="AU13" s="915"/>
      <c r="AV13" s="916"/>
      <c r="AW13" s="916"/>
      <c r="AX13" s="916"/>
      <c r="AY13" s="916"/>
      <c r="AZ13" s="916"/>
      <c r="BA13" s="916"/>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row>
    <row r="14" spans="1:86" s="1" customFormat="1" ht="24" thickBot="1" x14ac:dyDescent="0.3">
      <c r="A14" s="971" t="s">
        <v>547</v>
      </c>
      <c r="B14" s="1297"/>
      <c r="C14" s="1297"/>
      <c r="D14" s="1297"/>
      <c r="E14" s="1297"/>
      <c r="F14" s="1297"/>
      <c r="G14" s="1297"/>
      <c r="H14" s="895"/>
      <c r="I14" s="459"/>
      <c r="J14" s="459"/>
      <c r="K14" s="459"/>
      <c r="L14" s="459"/>
      <c r="M14" s="459"/>
      <c r="N14" s="459"/>
      <c r="O14" s="459"/>
      <c r="P14" s="459"/>
      <c r="Q14" s="459"/>
      <c r="R14" s="459"/>
      <c r="S14" s="896"/>
      <c r="T14" s="896"/>
      <c r="U14" s="896"/>
      <c r="V14" s="444"/>
      <c r="W14" s="444"/>
      <c r="X14" s="444"/>
      <c r="Y14" s="444"/>
      <c r="Z14" s="444"/>
      <c r="AA14" s="444"/>
      <c r="AB14" s="897"/>
      <c r="AC14" s="151"/>
      <c r="AD14" s="186"/>
      <c r="AE14" s="186"/>
      <c r="AF14" s="186"/>
      <c r="AG14" s="186"/>
      <c r="AH14" s="186"/>
      <c r="AI14" s="186"/>
      <c r="AJ14" s="186"/>
      <c r="AK14" s="186"/>
      <c r="AL14" s="186"/>
      <c r="AM14" s="446"/>
      <c r="AN14" s="446"/>
      <c r="AO14" s="446"/>
      <c r="AP14" s="446"/>
      <c r="AQ14" s="446"/>
      <c r="AR14" s="898"/>
      <c r="AS14" s="899"/>
      <c r="AT14" s="900"/>
      <c r="AU14" s="446"/>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row>
    <row r="15" spans="1:86" s="1" customFormat="1" ht="16.5" thickTop="1" x14ac:dyDescent="0.25">
      <c r="A15" s="975" t="s">
        <v>1158</v>
      </c>
      <c r="B15" s="1315">
        <f>+Processing!Y7</f>
        <v>0</v>
      </c>
      <c r="C15" s="1289"/>
      <c r="D15" s="1289" t="s">
        <v>428</v>
      </c>
      <c r="E15" s="1289"/>
      <c r="F15" s="1289"/>
      <c r="G15" s="1289"/>
      <c r="H15" s="895"/>
      <c r="I15" s="459"/>
      <c r="J15" s="459"/>
      <c r="K15" s="459"/>
      <c r="L15" s="459"/>
      <c r="M15" s="459"/>
      <c r="N15" s="459"/>
      <c r="O15" s="459"/>
      <c r="P15" s="459"/>
      <c r="Q15" s="459"/>
      <c r="R15" s="459"/>
      <c r="S15" s="896"/>
      <c r="T15" s="896"/>
      <c r="U15" s="896"/>
      <c r="V15" s="444"/>
      <c r="W15" s="444"/>
      <c r="X15" s="444"/>
      <c r="Y15" s="444"/>
      <c r="Z15" s="444"/>
      <c r="AA15" s="444"/>
      <c r="AB15" s="897"/>
      <c r="AC15" s="151"/>
      <c r="AD15" s="445"/>
      <c r="AE15" s="186"/>
      <c r="AF15" s="186"/>
      <c r="AG15" s="186"/>
      <c r="AH15" s="186"/>
      <c r="AI15" s="186"/>
      <c r="AJ15" s="186"/>
      <c r="AK15" s="186"/>
      <c r="AL15" s="186"/>
      <c r="AM15" s="446"/>
      <c r="AN15" s="446"/>
      <c r="AO15" s="446"/>
      <c r="AP15" s="446"/>
      <c r="AQ15" s="446"/>
      <c r="AR15" s="898"/>
      <c r="AS15" s="912"/>
      <c r="AT15" s="900"/>
      <c r="AU15" s="446"/>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row>
    <row r="16" spans="1:86" s="1" customFormat="1" ht="15.75" x14ac:dyDescent="0.25">
      <c r="A16" s="975" t="s">
        <v>49</v>
      </c>
      <c r="B16" s="1290" t="e">
        <f>SUM(Funding!X25)</f>
        <v>#VALUE!</v>
      </c>
      <c r="C16" s="1291"/>
      <c r="D16" s="1292" t="str">
        <f>IF(Funding!AD22=0,"",Funding!AD22)</f>
        <v/>
      </c>
      <c r="E16" s="1292" t="str">
        <f>IF(Funding!AD23=0,"",Funding!AD23)</f>
        <v/>
      </c>
      <c r="F16" s="1292" t="str">
        <f>IF(Funding!AD24=0,"",Funding!AD24)</f>
        <v/>
      </c>
      <c r="G16" s="1292" t="str">
        <f>IF(+RefiData!C30=0,"",+RefiData!C30)</f>
        <v/>
      </c>
      <c r="H16" s="895"/>
      <c r="I16" s="459"/>
      <c r="J16" s="459"/>
      <c r="K16" s="459"/>
      <c r="L16" s="459"/>
      <c r="M16" s="459"/>
      <c r="N16" s="459"/>
      <c r="O16" s="459"/>
      <c r="P16" s="459"/>
      <c r="Q16" s="459"/>
      <c r="R16" s="459"/>
      <c r="S16" s="896"/>
      <c r="T16" s="896"/>
      <c r="U16" s="896"/>
      <c r="V16" s="444"/>
      <c r="W16" s="444"/>
      <c r="X16" s="444"/>
      <c r="Y16" s="444"/>
      <c r="Z16" s="444"/>
      <c r="AA16" s="444"/>
      <c r="AB16" s="897"/>
      <c r="AC16" s="151"/>
      <c r="AD16" s="445"/>
      <c r="AE16" s="186"/>
      <c r="AF16" s="186"/>
      <c r="AG16" s="186"/>
      <c r="AH16" s="186"/>
      <c r="AI16" s="186"/>
      <c r="AJ16" s="186"/>
      <c r="AK16" s="186"/>
      <c r="AL16" s="186"/>
      <c r="AM16" s="186"/>
      <c r="AN16" s="151"/>
      <c r="AO16" s="151"/>
      <c r="AP16" s="151"/>
      <c r="AQ16" s="151"/>
      <c r="AR16" s="151"/>
      <c r="AS16" s="151"/>
      <c r="AT16" s="151"/>
      <c r="AU16" s="15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row>
    <row r="17" spans="1:86" s="1" customFormat="1" ht="15.75" x14ac:dyDescent="0.25">
      <c r="A17" s="975" t="s">
        <v>987</v>
      </c>
      <c r="B17" s="1293" t="e">
        <f>SUM(D18:G18)/SUM(D16:G16)</f>
        <v>#DIV/0!</v>
      </c>
      <c r="C17" s="1294"/>
      <c r="D17" s="1295" t="str">
        <f>IF(D16="","",(Funding!AP22))</f>
        <v/>
      </c>
      <c r="E17" s="1295" t="str">
        <f>IF(E16="","",(Funding!AP23))</f>
        <v/>
      </c>
      <c r="F17" s="1295" t="str">
        <f>IF(F16="","",(Funding!AP24))</f>
        <v/>
      </c>
      <c r="G17" s="1295" t="str">
        <f>IF(G16="","",(RefiData!H30))</f>
        <v/>
      </c>
      <c r="H17" s="895"/>
      <c r="I17" s="459"/>
      <c r="J17" s="459"/>
      <c r="K17" s="459"/>
      <c r="L17" s="459"/>
      <c r="M17" s="459"/>
      <c r="N17" s="459"/>
      <c r="O17" s="459"/>
      <c r="P17" s="459"/>
      <c r="Q17" s="459"/>
      <c r="R17" s="459"/>
      <c r="S17" s="896"/>
      <c r="T17" s="896"/>
      <c r="U17" s="896"/>
      <c r="V17" s="444"/>
      <c r="W17" s="444"/>
      <c r="X17" s="444"/>
      <c r="Y17" s="444"/>
      <c r="Z17" s="444"/>
      <c r="AA17" s="444"/>
      <c r="AB17" s="897"/>
      <c r="AC17" s="151"/>
      <c r="AD17" s="445"/>
      <c r="AE17" s="186"/>
      <c r="AF17" s="186"/>
      <c r="AG17" s="186"/>
      <c r="AH17" s="186"/>
      <c r="AI17" s="186"/>
      <c r="AJ17" s="186"/>
      <c r="AK17" s="186"/>
      <c r="AL17" s="186"/>
      <c r="AM17" s="186"/>
      <c r="AN17" s="186"/>
      <c r="AO17" s="186"/>
      <c r="AP17" s="186"/>
      <c r="AQ17" s="186"/>
      <c r="AR17" s="186"/>
      <c r="AS17" s="186"/>
      <c r="AT17" s="186"/>
      <c r="AU17" s="15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row>
    <row r="18" spans="1:86" s="1" customFormat="1" ht="15.75" x14ac:dyDescent="0.25">
      <c r="A18" s="975" t="s">
        <v>1306</v>
      </c>
      <c r="B18" s="1290">
        <f>SUM(C18:G18)</f>
        <v>0</v>
      </c>
      <c r="C18" s="1294"/>
      <c r="D18" s="1292" t="str">
        <f t="shared" ref="D18" si="1">IF(D16="","",+D16*D17)</f>
        <v/>
      </c>
      <c r="E18" s="1292" t="str">
        <f t="shared" ref="E18" si="2">IF(E16="","",+E16*E17)</f>
        <v/>
      </c>
      <c r="F18" s="1292" t="str">
        <f t="shared" ref="F18" si="3">IF(F16="","",+F16*F17)</f>
        <v/>
      </c>
      <c r="G18" s="1292" t="str">
        <f>IF(G16="","",+G16*G17)</f>
        <v/>
      </c>
      <c r="H18" s="895"/>
      <c r="I18" s="459"/>
      <c r="J18" s="459"/>
      <c r="K18" s="459"/>
      <c r="L18" s="459"/>
      <c r="M18" s="459"/>
      <c r="N18" s="459"/>
      <c r="O18" s="459"/>
      <c r="P18" s="459"/>
      <c r="Q18" s="459"/>
      <c r="R18" s="459"/>
      <c r="S18" s="896"/>
      <c r="T18" s="896"/>
      <c r="U18" s="896"/>
      <c r="V18" s="444"/>
      <c r="W18" s="444"/>
      <c r="X18" s="444"/>
      <c r="Y18" s="444"/>
      <c r="Z18" s="444"/>
      <c r="AA18" s="444"/>
      <c r="AB18" s="897"/>
      <c r="AC18" s="151"/>
      <c r="AD18" s="445"/>
      <c r="AE18" s="186"/>
      <c r="AF18" s="186"/>
      <c r="AG18" s="186"/>
      <c r="AH18" s="186"/>
      <c r="AI18" s="186"/>
      <c r="AJ18" s="186"/>
      <c r="AK18" s="186"/>
      <c r="AL18" s="186"/>
      <c r="AM18" s="186"/>
      <c r="AN18" s="186"/>
      <c r="AO18" s="186"/>
      <c r="AP18" s="186"/>
      <c r="AQ18" s="186"/>
      <c r="AR18" s="186"/>
      <c r="AS18" s="186"/>
      <c r="AT18" s="186"/>
      <c r="AU18" s="15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row>
    <row r="19" spans="1:86" s="1" customFormat="1" ht="15.75" x14ac:dyDescent="0.25">
      <c r="A19" s="975" t="s">
        <v>1309</v>
      </c>
      <c r="B19" s="1290">
        <f>+RefiData!F33</f>
        <v>395</v>
      </c>
      <c r="C19" s="1294"/>
      <c r="D19" s="1292"/>
      <c r="E19" s="1292"/>
      <c r="F19" s="1292"/>
      <c r="G19" s="1292"/>
      <c r="H19" s="895"/>
      <c r="I19" s="459"/>
      <c r="J19" s="459"/>
      <c r="K19" s="459"/>
      <c r="L19" s="459"/>
      <c r="M19" s="459"/>
      <c r="N19" s="459"/>
      <c r="O19" s="459"/>
      <c r="P19" s="459"/>
      <c r="Q19" s="459"/>
      <c r="R19" s="459"/>
      <c r="S19" s="896"/>
      <c r="T19" s="896"/>
      <c r="U19" s="896"/>
      <c r="V19" s="444"/>
      <c r="W19" s="444"/>
      <c r="X19" s="444"/>
      <c r="Y19" s="444"/>
      <c r="Z19" s="444"/>
      <c r="AA19" s="444"/>
      <c r="AB19" s="897"/>
      <c r="AC19" s="151"/>
      <c r="AD19" s="445"/>
      <c r="AE19" s="186"/>
      <c r="AF19" s="186"/>
      <c r="AG19" s="186"/>
      <c r="AH19" s="186"/>
      <c r="AI19" s="186"/>
      <c r="AJ19" s="186"/>
      <c r="AK19" s="186"/>
      <c r="AL19" s="186"/>
      <c r="AM19" s="186"/>
      <c r="AN19" s="186"/>
      <c r="AO19" s="186"/>
      <c r="AP19" s="186"/>
      <c r="AQ19" s="186"/>
      <c r="AR19" s="186"/>
      <c r="AS19" s="186"/>
      <c r="AT19" s="186"/>
      <c r="AU19" s="15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row>
    <row r="20" spans="1:86" s="1" customFormat="1" ht="15.75" x14ac:dyDescent="0.25">
      <c r="A20" s="975"/>
      <c r="B20" s="1290"/>
      <c r="C20" s="1294"/>
      <c r="D20" s="1292"/>
      <c r="E20" s="1292"/>
      <c r="F20" s="1292"/>
      <c r="G20" s="1292"/>
      <c r="H20" s="895"/>
      <c r="I20" s="459"/>
      <c r="J20" s="459"/>
      <c r="K20" s="459"/>
      <c r="L20" s="459"/>
      <c r="M20" s="459"/>
      <c r="N20" s="459"/>
      <c r="O20" s="459"/>
      <c r="P20" s="459"/>
      <c r="Q20" s="459"/>
      <c r="R20" s="459"/>
      <c r="S20" s="896"/>
      <c r="T20" s="896"/>
      <c r="U20" s="896"/>
      <c r="V20" s="444"/>
      <c r="W20" s="444"/>
      <c r="X20" s="444"/>
      <c r="Y20" s="444"/>
      <c r="Z20" s="444"/>
      <c r="AA20" s="444"/>
      <c r="AB20" s="897"/>
      <c r="AC20" s="151"/>
      <c r="AD20" s="445"/>
      <c r="AE20" s="186"/>
      <c r="AF20" s="186"/>
      <c r="AG20" s="186"/>
      <c r="AH20" s="186"/>
      <c r="AI20" s="186"/>
      <c r="AJ20" s="186"/>
      <c r="AK20" s="186"/>
      <c r="AL20" s="186"/>
      <c r="AM20" s="186"/>
      <c r="AN20" s="186"/>
      <c r="AO20" s="186"/>
      <c r="AP20" s="186"/>
      <c r="AQ20" s="186"/>
      <c r="AR20" s="186"/>
      <c r="AS20" s="186"/>
      <c r="AT20" s="186"/>
      <c r="AU20" s="15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row>
    <row r="21" spans="1:86" s="1" customFormat="1" ht="24" thickBot="1" x14ac:dyDescent="0.3">
      <c r="A21" s="971" t="s">
        <v>1317</v>
      </c>
      <c r="B21" s="971"/>
      <c r="C21" s="971"/>
      <c r="D21" s="971"/>
      <c r="E21" s="971"/>
      <c r="F21" s="971"/>
      <c r="G21" s="971"/>
      <c r="H21" s="895"/>
      <c r="I21" s="459"/>
      <c r="J21" s="459"/>
      <c r="K21" s="459"/>
      <c r="L21" s="459"/>
      <c r="M21" s="459"/>
      <c r="N21" s="459"/>
      <c r="O21" s="459"/>
      <c r="P21" s="459"/>
      <c r="Q21" s="459"/>
      <c r="R21" s="459"/>
      <c r="S21" s="896"/>
      <c r="T21" s="896"/>
      <c r="U21" s="896"/>
      <c r="V21" s="444"/>
      <c r="W21" s="444"/>
      <c r="X21" s="444"/>
      <c r="Y21" s="444"/>
      <c r="Z21" s="444"/>
      <c r="AA21" s="444"/>
      <c r="AB21" s="897"/>
      <c r="AC21" s="151"/>
      <c r="AD21" s="445"/>
      <c r="AE21" s="186"/>
      <c r="AF21" s="186"/>
      <c r="AG21" s="186"/>
      <c r="AH21" s="186"/>
      <c r="AI21" s="186"/>
      <c r="AJ21" s="186"/>
      <c r="AK21" s="186"/>
      <c r="AL21" s="186"/>
      <c r="AM21" s="186"/>
      <c r="AN21" s="186"/>
      <c r="AO21" s="186"/>
      <c r="AP21" s="186"/>
      <c r="AQ21" s="186"/>
      <c r="AR21" s="186"/>
      <c r="AS21" s="186"/>
      <c r="AT21" s="186"/>
      <c r="AU21" s="15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row>
    <row r="22" spans="1:86" s="1" customFormat="1" ht="16.5" thickTop="1" x14ac:dyDescent="0.2">
      <c r="A22" s="1301"/>
      <c r="B22" s="1307"/>
      <c r="C22" s="1302"/>
      <c r="D22" s="1309" t="s">
        <v>1315</v>
      </c>
      <c r="E22" s="1309" t="s">
        <v>1316</v>
      </c>
      <c r="F22" s="1306"/>
      <c r="G22" s="1303"/>
      <c r="H22" s="895"/>
      <c r="I22" s="459"/>
      <c r="J22" s="459"/>
      <c r="K22" s="459"/>
      <c r="L22" s="459"/>
      <c r="M22" s="459"/>
      <c r="N22" s="459"/>
      <c r="O22" s="459"/>
      <c r="P22" s="459"/>
      <c r="Q22" s="459"/>
      <c r="R22" s="459"/>
      <c r="S22" s="896"/>
      <c r="T22" s="896"/>
      <c r="U22" s="896"/>
      <c r="V22" s="444"/>
      <c r="W22" s="444"/>
      <c r="X22" s="444"/>
      <c r="Y22" s="444"/>
      <c r="Z22" s="444"/>
      <c r="AA22" s="444"/>
      <c r="AB22" s="897"/>
      <c r="AC22" s="151"/>
      <c r="AD22" s="445"/>
      <c r="AE22" s="186"/>
      <c r="AF22" s="186"/>
      <c r="AG22" s="186"/>
      <c r="AH22" s="186"/>
      <c r="AI22" s="186"/>
      <c r="AJ22" s="186"/>
      <c r="AK22" s="186"/>
      <c r="AL22" s="186"/>
      <c r="AM22" s="186"/>
      <c r="AN22" s="186"/>
      <c r="AO22" s="186"/>
      <c r="AP22" s="186"/>
      <c r="AQ22" s="186"/>
      <c r="AR22" s="186"/>
      <c r="AS22" s="186"/>
      <c r="AT22" s="186"/>
      <c r="AU22" s="15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row>
    <row r="23" spans="1:86" ht="15.75" x14ac:dyDescent="0.25">
      <c r="A23" s="975" t="s">
        <v>1308</v>
      </c>
      <c r="B23" s="1304">
        <f>SUM(D23:F23)</f>
        <v>2350</v>
      </c>
      <c r="C23" s="1305"/>
      <c r="D23" s="1292">
        <v>350</v>
      </c>
      <c r="E23" s="1292">
        <v>2000</v>
      </c>
      <c r="F23" s="1308" t="s">
        <v>1319</v>
      </c>
      <c r="G23" s="24"/>
      <c r="H23" s="895"/>
      <c r="I23" s="459"/>
      <c r="J23" s="459"/>
      <c r="K23" s="459"/>
      <c r="L23" s="459"/>
      <c r="M23" s="459"/>
      <c r="N23" s="459"/>
      <c r="O23" s="459"/>
      <c r="P23" s="459"/>
      <c r="Q23" s="459"/>
      <c r="R23" s="459"/>
      <c r="S23" s="896"/>
      <c r="T23" s="896"/>
      <c r="U23" s="896"/>
      <c r="AB23" s="897"/>
      <c r="AC23" s="151"/>
      <c r="AN23" s="186"/>
      <c r="AO23" s="186"/>
      <c r="AP23" s="186"/>
      <c r="AQ23" s="186"/>
      <c r="AR23" s="186"/>
      <c r="AS23" s="186"/>
    </row>
    <row r="24" spans="1:86" ht="15.75" x14ac:dyDescent="0.25">
      <c r="A24" s="975" t="s">
        <v>1318</v>
      </c>
      <c r="B24" s="1304">
        <f>SUM(D24:F24)</f>
        <v>218</v>
      </c>
      <c r="C24" s="1305"/>
      <c r="D24" s="1308" t="s">
        <v>1321</v>
      </c>
      <c r="E24" s="1308" t="s">
        <v>1322</v>
      </c>
      <c r="F24" s="1292">
        <v>218</v>
      </c>
      <c r="G24" s="24"/>
      <c r="H24" s="895"/>
      <c r="I24" s="459"/>
      <c r="J24" s="459"/>
      <c r="K24" s="459"/>
      <c r="L24" s="459"/>
      <c r="M24" s="459"/>
      <c r="N24" s="459"/>
      <c r="O24" s="459"/>
      <c r="P24" s="459"/>
      <c r="Q24" s="459"/>
      <c r="R24" s="459"/>
      <c r="S24" s="896"/>
      <c r="T24" s="896"/>
      <c r="U24" s="896"/>
      <c r="AB24" s="897"/>
      <c r="AC24" s="151"/>
      <c r="AN24" s="186"/>
      <c r="AO24" s="186"/>
      <c r="AP24" s="186"/>
      <c r="AQ24" s="186"/>
      <c r="AR24" s="186"/>
      <c r="AS24" s="186"/>
    </row>
    <row r="25" spans="1:86" ht="15.75" x14ac:dyDescent="0.25">
      <c r="A25" s="975" t="s">
        <v>1320</v>
      </c>
      <c r="B25" s="1312">
        <f>SUM(D25:F25)</f>
        <v>395</v>
      </c>
      <c r="C25" s="1305"/>
      <c r="D25" s="1292"/>
      <c r="E25" s="1292">
        <v>395</v>
      </c>
      <c r="F25" s="1292"/>
      <c r="G25" s="24"/>
      <c r="H25" s="895"/>
      <c r="I25" s="459"/>
      <c r="J25" s="459"/>
      <c r="K25" s="459"/>
      <c r="L25" s="459"/>
      <c r="M25" s="459"/>
      <c r="N25" s="459"/>
      <c r="O25" s="459"/>
      <c r="P25" s="459"/>
      <c r="Q25" s="459"/>
      <c r="R25" s="459"/>
      <c r="S25" s="896"/>
      <c r="T25" s="896"/>
      <c r="U25" s="896"/>
      <c r="AB25" s="897"/>
      <c r="AC25" s="151"/>
      <c r="AN25" s="186"/>
      <c r="AO25" s="186"/>
      <c r="AP25" s="186"/>
      <c r="AQ25" s="186"/>
      <c r="AR25" s="186"/>
      <c r="AS25" s="186"/>
    </row>
    <row r="26" spans="1:86" ht="15.6" customHeight="1" x14ac:dyDescent="0.25">
      <c r="A26" s="975" t="s">
        <v>1323</v>
      </c>
      <c r="B26" s="1304">
        <f>SUM(B23:B25)</f>
        <v>2963</v>
      </c>
      <c r="C26" s="1305"/>
      <c r="D26" s="2135" t="s">
        <v>1326</v>
      </c>
      <c r="E26" s="2135"/>
      <c r="F26" s="1313">
        <v>1500</v>
      </c>
      <c r="G26" s="24"/>
      <c r="H26" s="895"/>
      <c r="I26" s="459"/>
      <c r="J26" s="459"/>
      <c r="K26" s="459"/>
      <c r="L26" s="459"/>
      <c r="M26" s="459"/>
      <c r="N26" s="459"/>
      <c r="O26" s="459"/>
      <c r="P26" s="459"/>
      <c r="Q26" s="459"/>
      <c r="R26" s="459"/>
      <c r="S26" s="896"/>
      <c r="T26" s="896"/>
      <c r="U26" s="896"/>
      <c r="AB26" s="897"/>
      <c r="AC26" s="151"/>
      <c r="AN26" s="186"/>
      <c r="AO26" s="186"/>
      <c r="AP26" s="186"/>
      <c r="AQ26" s="186"/>
      <c r="AR26" s="186"/>
      <c r="AS26" s="186"/>
    </row>
    <row r="27" spans="1:86" ht="15.75" x14ac:dyDescent="0.25">
      <c r="A27" s="975"/>
      <c r="B27" s="1290"/>
      <c r="C27" s="1294"/>
      <c r="D27" s="1292"/>
      <c r="E27" s="1292"/>
      <c r="F27" s="1292"/>
      <c r="G27" s="1292" t="str">
        <f>IF(MAX(RefiData!J30:K30)=0,"",MAX(RefiData!J30:K30))</f>
        <v/>
      </c>
      <c r="H27" s="895"/>
      <c r="I27" s="459"/>
      <c r="J27" s="459"/>
      <c r="K27" s="459"/>
      <c r="L27" s="459"/>
      <c r="M27" s="459"/>
      <c r="N27" s="459"/>
      <c r="O27" s="459"/>
      <c r="P27" s="459"/>
      <c r="Q27" s="459"/>
      <c r="R27" s="459"/>
      <c r="S27" s="896"/>
      <c r="T27" s="896"/>
      <c r="U27" s="896"/>
      <c r="AB27" s="897"/>
      <c r="AC27" s="151"/>
      <c r="AN27" s="186"/>
      <c r="AO27" s="186"/>
      <c r="AP27" s="186"/>
      <c r="AQ27" s="186"/>
      <c r="AR27" s="186"/>
      <c r="AS27" s="186"/>
    </row>
    <row r="28" spans="1:86" s="1" customFormat="1" ht="24" thickBot="1" x14ac:dyDescent="0.3">
      <c r="A28" s="971" t="s">
        <v>1310</v>
      </c>
      <c r="B28" s="971"/>
      <c r="C28" s="971"/>
      <c r="D28" s="1292"/>
      <c r="E28" s="1292"/>
      <c r="F28" s="1292"/>
      <c r="G28" s="1292"/>
      <c r="H28" s="895"/>
      <c r="I28" s="459"/>
      <c r="J28" s="459"/>
      <c r="K28" s="459"/>
      <c r="L28" s="459"/>
      <c r="M28" s="459"/>
      <c r="N28" s="459"/>
      <c r="O28" s="459"/>
      <c r="P28" s="459"/>
      <c r="Q28" s="459"/>
      <c r="R28" s="459"/>
      <c r="S28" s="896"/>
      <c r="T28" s="896"/>
      <c r="U28" s="896"/>
      <c r="V28" s="444"/>
      <c r="W28" s="444"/>
      <c r="X28" s="444"/>
      <c r="Y28" s="444"/>
      <c r="Z28" s="444"/>
      <c r="AA28" s="444"/>
      <c r="AB28" s="897"/>
      <c r="AC28" s="151"/>
      <c r="AD28" s="445"/>
      <c r="AE28" s="186"/>
      <c r="AF28" s="186"/>
      <c r="AG28" s="186"/>
      <c r="AH28" s="186"/>
      <c r="AI28" s="186"/>
      <c r="AJ28" s="186"/>
      <c r="AK28" s="186"/>
      <c r="AL28" s="186"/>
      <c r="AM28" s="186"/>
      <c r="AN28" s="186"/>
      <c r="AO28" s="186"/>
      <c r="AP28" s="186"/>
      <c r="AQ28" s="186"/>
      <c r="AR28" s="186"/>
      <c r="AS28" s="186"/>
      <c r="AT28" s="186"/>
      <c r="AU28" s="15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row>
    <row r="29" spans="1:86" ht="15.75" thickTop="1" x14ac:dyDescent="0.25">
      <c r="A29" s="24"/>
      <c r="B29" s="1298"/>
      <c r="C29" s="1289"/>
      <c r="D29" s="1289"/>
      <c r="E29" s="1289"/>
      <c r="F29" s="1289"/>
      <c r="G29" s="1289"/>
      <c r="H29" s="895"/>
      <c r="I29" s="459"/>
      <c r="J29" s="459"/>
      <c r="K29" s="459"/>
      <c r="L29" s="459"/>
      <c r="M29" s="459"/>
      <c r="N29" s="459"/>
      <c r="O29" s="459"/>
      <c r="P29" s="459"/>
      <c r="Q29" s="459"/>
      <c r="R29" s="459"/>
      <c r="S29" s="896"/>
      <c r="T29" s="896"/>
      <c r="U29" s="896"/>
      <c r="AB29" s="897"/>
      <c r="AC29" s="151"/>
    </row>
    <row r="30" spans="1:86" ht="15.75" x14ac:dyDescent="0.25">
      <c r="A30" s="975" t="s">
        <v>1311</v>
      </c>
      <c r="B30" s="1299">
        <f>+B10</f>
        <v>61825</v>
      </c>
      <c r="C30" s="1291"/>
      <c r="D30" s="1292">
        <f>+D10</f>
        <v>35200</v>
      </c>
      <c r="E30" s="1292">
        <f>+E10</f>
        <v>10875</v>
      </c>
      <c r="F30" s="1292">
        <f>+F10</f>
        <v>15750</v>
      </c>
      <c r="G30" s="1292" t="str">
        <f>+G10</f>
        <v/>
      </c>
      <c r="H30" s="895"/>
      <c r="I30" s="459"/>
      <c r="J30" s="459"/>
      <c r="K30" s="459"/>
      <c r="L30" s="459"/>
      <c r="M30" s="459"/>
      <c r="N30" s="459"/>
      <c r="O30" s="459"/>
      <c r="P30" s="459"/>
      <c r="Q30" s="459"/>
      <c r="R30" s="459"/>
      <c r="S30" s="896"/>
      <c r="T30" s="896"/>
      <c r="U30" s="896"/>
      <c r="AB30" s="897"/>
      <c r="AC30" s="151"/>
    </row>
    <row r="31" spans="1:86" ht="15.75" x14ac:dyDescent="0.25">
      <c r="A31" s="975" t="s">
        <v>1312</v>
      </c>
      <c r="B31" s="1290">
        <f>+B18</f>
        <v>0</v>
      </c>
      <c r="C31" s="1294"/>
      <c r="D31" s="1300" t="str">
        <f>+D18</f>
        <v/>
      </c>
      <c r="E31" s="1300" t="str">
        <f t="shared" ref="E31:G31" si="4">+E18</f>
        <v/>
      </c>
      <c r="F31" s="1300" t="str">
        <f t="shared" si="4"/>
        <v/>
      </c>
      <c r="G31" s="1300" t="str">
        <f t="shared" si="4"/>
        <v/>
      </c>
      <c r="H31" s="895"/>
      <c r="I31" s="459"/>
      <c r="J31" s="459"/>
      <c r="K31" s="459"/>
      <c r="L31" s="459"/>
      <c r="M31" s="459"/>
      <c r="N31" s="459"/>
      <c r="O31" s="459"/>
      <c r="P31" s="459"/>
      <c r="Q31" s="459"/>
      <c r="R31" s="459"/>
      <c r="S31" s="896"/>
      <c r="T31" s="896"/>
      <c r="U31" s="896"/>
      <c r="AB31" s="897"/>
      <c r="AC31" s="446"/>
    </row>
    <row r="32" spans="1:86" ht="15.75" x14ac:dyDescent="0.25">
      <c r="A32" s="975" t="s">
        <v>1313</v>
      </c>
      <c r="B32" s="1314">
        <f>+B26</f>
        <v>2963</v>
      </c>
      <c r="C32" s="1294"/>
      <c r="D32" s="1292"/>
      <c r="E32" s="1292"/>
      <c r="F32" s="1292"/>
      <c r="G32" s="1292"/>
      <c r="H32" s="895"/>
      <c r="I32" s="459"/>
      <c r="J32" s="459"/>
      <c r="K32" s="459"/>
      <c r="L32" s="459"/>
      <c r="M32" s="459"/>
      <c r="N32" s="459"/>
      <c r="O32" s="459"/>
      <c r="P32" s="459"/>
      <c r="Q32" s="459"/>
      <c r="R32" s="459"/>
      <c r="S32" s="896"/>
      <c r="T32" s="896"/>
      <c r="U32" s="896"/>
      <c r="AB32" s="897"/>
      <c r="AC32" s="446"/>
    </row>
    <row r="33" spans="1:86" ht="15.75" x14ac:dyDescent="0.25">
      <c r="A33" s="975"/>
      <c r="B33" s="1290"/>
      <c r="C33" s="1294"/>
      <c r="D33" s="1292"/>
      <c r="E33" s="1292"/>
      <c r="F33" s="1292"/>
      <c r="G33" s="1292"/>
      <c r="H33" s="895"/>
      <c r="I33" s="459"/>
      <c r="J33" s="459"/>
      <c r="K33" s="459"/>
      <c r="L33" s="459"/>
      <c r="M33" s="459"/>
      <c r="N33" s="459"/>
      <c r="O33" s="459"/>
      <c r="P33" s="459"/>
      <c r="Q33" s="459"/>
      <c r="R33" s="459"/>
      <c r="S33" s="896"/>
      <c r="T33" s="896"/>
      <c r="U33" s="896"/>
      <c r="AB33" s="897"/>
      <c r="AC33" s="446"/>
    </row>
    <row r="34" spans="1:86" ht="15.75" x14ac:dyDescent="0.25">
      <c r="A34" s="975" t="s">
        <v>1314</v>
      </c>
      <c r="B34" s="1304">
        <f>+B32-B26+F26</f>
        <v>1500</v>
      </c>
      <c r="C34" s="1310"/>
      <c r="D34" s="1310" t="e">
        <f>IF(D30="","",+D30-D31)</f>
        <v>#VALUE!</v>
      </c>
      <c r="E34" s="1310" t="e">
        <f>IF(E30="","",+E30-E31)</f>
        <v>#VALUE!</v>
      </c>
      <c r="F34" s="1310" t="e">
        <f>IF(F30="","",+F30-F31)</f>
        <v>#VALUE!</v>
      </c>
      <c r="G34" s="1310" t="str">
        <f>IF(G30="","",+G30-G31)</f>
        <v/>
      </c>
      <c r="H34" s="895"/>
      <c r="I34" s="459"/>
      <c r="J34" s="459"/>
      <c r="K34" s="459"/>
      <c r="L34" s="459"/>
      <c r="M34" s="459"/>
      <c r="N34" s="459"/>
      <c r="O34" s="459"/>
      <c r="P34" s="459"/>
      <c r="Q34" s="459"/>
      <c r="R34" s="459"/>
      <c r="S34" s="896"/>
      <c r="T34" s="896"/>
      <c r="U34" s="896"/>
    </row>
    <row r="35" spans="1:86" ht="15.75" x14ac:dyDescent="0.25">
      <c r="A35" s="975" t="s">
        <v>1324</v>
      </c>
      <c r="B35" s="1304">
        <f>+B30-B31</f>
        <v>61825</v>
      </c>
      <c r="C35" s="1311"/>
      <c r="D35" s="1311"/>
      <c r="E35" s="1311"/>
      <c r="F35" s="1311"/>
      <c r="G35" s="1311"/>
      <c r="H35" s="895"/>
      <c r="I35" s="459"/>
      <c r="J35" s="459"/>
      <c r="K35" s="459"/>
      <c r="L35" s="459"/>
      <c r="M35" s="459"/>
      <c r="N35" s="459"/>
      <c r="O35" s="459"/>
      <c r="P35" s="459"/>
      <c r="Q35" s="459"/>
      <c r="R35" s="459"/>
      <c r="S35" s="896"/>
      <c r="T35" s="896"/>
      <c r="U35" s="896"/>
    </row>
    <row r="36" spans="1:86" ht="15.75" x14ac:dyDescent="0.25">
      <c r="A36" s="975" t="s">
        <v>1325</v>
      </c>
      <c r="B36" s="1304">
        <f>+B35</f>
        <v>61825</v>
      </c>
      <c r="C36" s="1294"/>
      <c r="D36" s="1298"/>
      <c r="E36" s="1298"/>
      <c r="F36" s="1298"/>
      <c r="G36" s="1298"/>
      <c r="H36" s="895"/>
      <c r="I36" s="459"/>
      <c r="J36" s="459"/>
      <c r="K36" s="459"/>
      <c r="L36" s="459"/>
      <c r="M36" s="459"/>
      <c r="N36" s="459"/>
      <c r="O36" s="459"/>
      <c r="P36" s="459"/>
      <c r="Q36" s="459"/>
      <c r="R36" s="459"/>
      <c r="S36" s="896"/>
      <c r="T36" s="896"/>
      <c r="U36" s="896"/>
    </row>
    <row r="37" spans="1:86" ht="15.75" x14ac:dyDescent="0.25">
      <c r="A37" s="975"/>
      <c r="B37" s="976"/>
      <c r="C37" s="976"/>
      <c r="D37" s="976"/>
      <c r="E37" s="976"/>
      <c r="F37" s="976"/>
      <c r="G37" s="976"/>
      <c r="I37" s="459"/>
      <c r="J37" s="459"/>
      <c r="K37" s="459"/>
      <c r="L37" s="459"/>
      <c r="M37" s="459"/>
      <c r="N37" s="459"/>
      <c r="O37" s="459"/>
      <c r="P37" s="459"/>
      <c r="Q37" s="459"/>
      <c r="R37" s="459"/>
    </row>
    <row r="38" spans="1:86" s="462" customFormat="1" ht="15" x14ac:dyDescent="0.25">
      <c r="A38" s="988" t="s">
        <v>772</v>
      </c>
      <c r="B38" s="990"/>
      <c r="C38" s="990"/>
      <c r="D38" s="990"/>
      <c r="E38" s="990"/>
      <c r="F38" s="990"/>
      <c r="G38" s="990"/>
      <c r="H38" s="892"/>
      <c r="I38" s="893"/>
      <c r="J38" s="893"/>
      <c r="K38" s="893"/>
      <c r="L38" s="893"/>
      <c r="M38" s="893"/>
      <c r="N38" s="893"/>
      <c r="O38" s="893"/>
      <c r="P38" s="893"/>
      <c r="Q38" s="894"/>
      <c r="R38" s="893"/>
      <c r="S38" s="893"/>
      <c r="T38" s="893"/>
      <c r="U38" s="893"/>
      <c r="V38" s="889"/>
      <c r="W38" s="889"/>
      <c r="X38" s="889"/>
      <c r="Y38" s="889"/>
      <c r="Z38" s="889"/>
      <c r="AA38" s="889"/>
      <c r="AB38" s="889"/>
      <c r="AC38" s="889"/>
      <c r="AD38" s="891"/>
      <c r="AE38" s="891"/>
      <c r="AF38" s="891"/>
      <c r="AG38" s="891"/>
      <c r="AH38" s="891"/>
      <c r="AI38" s="891"/>
      <c r="AJ38" s="891"/>
      <c r="AK38" s="891"/>
      <c r="AL38" s="891"/>
      <c r="AM38" s="891"/>
      <c r="AN38" s="891"/>
      <c r="AO38" s="891"/>
      <c r="AP38" s="891"/>
      <c r="AQ38" s="891"/>
      <c r="AR38" s="891"/>
      <c r="AS38" s="891"/>
      <c r="AT38" s="891"/>
      <c r="AU38" s="890"/>
      <c r="AV38" s="889"/>
      <c r="AW38" s="889"/>
      <c r="AX38" s="889"/>
      <c r="AY38" s="889"/>
      <c r="AZ38" s="889"/>
      <c r="BA38" s="889"/>
      <c r="BB38" s="889"/>
      <c r="BC38" s="889"/>
      <c r="BD38" s="889"/>
      <c r="BE38" s="889"/>
      <c r="BF38" s="889"/>
      <c r="BG38" s="889"/>
      <c r="BH38" s="889"/>
      <c r="BI38" s="889"/>
      <c r="BJ38" s="889"/>
      <c r="BK38" s="889"/>
      <c r="BL38" s="889"/>
      <c r="BM38" s="889"/>
      <c r="BN38" s="889"/>
      <c r="BO38" s="889"/>
      <c r="BP38" s="889"/>
      <c r="BQ38" s="889"/>
      <c r="BR38" s="889"/>
      <c r="BS38" s="889"/>
      <c r="BT38" s="889"/>
      <c r="BU38" s="889"/>
      <c r="BV38" s="889"/>
      <c r="BW38" s="889"/>
      <c r="BX38" s="889"/>
      <c r="BY38" s="889"/>
      <c r="BZ38" s="889"/>
      <c r="CA38" s="889"/>
      <c r="CB38" s="889"/>
      <c r="CC38" s="889"/>
      <c r="CD38" s="889"/>
      <c r="CE38" s="889"/>
      <c r="CF38" s="889"/>
      <c r="CG38" s="889"/>
      <c r="CH38" s="889"/>
    </row>
    <row r="39" spans="1:86" s="462" customFormat="1" ht="43.9" customHeight="1" x14ac:dyDescent="0.25">
      <c r="A39" s="2136" t="s">
        <v>867</v>
      </c>
      <c r="B39" s="2136"/>
      <c r="C39" s="2136"/>
      <c r="D39" s="2136"/>
      <c r="E39" s="2136"/>
      <c r="F39" s="2136"/>
      <c r="G39" s="2136"/>
      <c r="H39" s="892"/>
      <c r="I39" s="893"/>
      <c r="J39" s="893"/>
      <c r="K39" s="893"/>
      <c r="L39" s="893"/>
      <c r="M39" s="893"/>
      <c r="N39" s="893"/>
      <c r="O39" s="893"/>
      <c r="P39" s="893"/>
      <c r="Q39" s="894"/>
      <c r="R39" s="893"/>
      <c r="S39" s="893"/>
      <c r="T39" s="893"/>
      <c r="U39" s="893"/>
      <c r="V39" s="889"/>
      <c r="W39" s="889"/>
      <c r="X39" s="889"/>
      <c r="Y39" s="889"/>
      <c r="Z39" s="889"/>
      <c r="AA39" s="889"/>
      <c r="AB39" s="889"/>
      <c r="AC39" s="889"/>
      <c r="AD39" s="891"/>
      <c r="AE39" s="891"/>
      <c r="AF39" s="891"/>
      <c r="AG39" s="891"/>
      <c r="AH39" s="891"/>
      <c r="AI39" s="891"/>
      <c r="AJ39" s="891"/>
      <c r="AK39" s="891"/>
      <c r="AL39" s="891"/>
      <c r="AM39" s="891"/>
      <c r="AN39" s="891"/>
      <c r="AO39" s="891"/>
      <c r="AP39" s="891"/>
      <c r="AQ39" s="891"/>
      <c r="AR39" s="891"/>
      <c r="AS39" s="891"/>
      <c r="AT39" s="891"/>
      <c r="AU39" s="890"/>
      <c r="AV39" s="889"/>
      <c r="AW39" s="889"/>
      <c r="AX39" s="889"/>
      <c r="AY39" s="889"/>
      <c r="AZ39" s="889"/>
      <c r="BA39" s="889"/>
      <c r="BB39" s="889"/>
      <c r="BC39" s="889"/>
      <c r="BD39" s="889"/>
      <c r="BE39" s="889"/>
      <c r="BF39" s="889"/>
      <c r="BG39" s="889"/>
      <c r="BH39" s="889"/>
      <c r="BI39" s="889"/>
      <c r="BJ39" s="889"/>
      <c r="BK39" s="889"/>
      <c r="BL39" s="889"/>
      <c r="BM39" s="889"/>
      <c r="BN39" s="889"/>
      <c r="BO39" s="889"/>
      <c r="BP39" s="889"/>
      <c r="BQ39" s="889"/>
      <c r="BR39" s="889"/>
      <c r="BS39" s="889"/>
      <c r="BT39" s="889"/>
      <c r="BU39" s="889"/>
      <c r="BV39" s="889"/>
      <c r="BW39" s="889"/>
      <c r="BX39" s="889"/>
      <c r="BY39" s="889"/>
      <c r="BZ39" s="889"/>
      <c r="CA39" s="889"/>
      <c r="CB39" s="889"/>
      <c r="CC39" s="889"/>
      <c r="CD39" s="889"/>
      <c r="CE39" s="889"/>
      <c r="CF39" s="889"/>
      <c r="CG39" s="889"/>
      <c r="CH39" s="889"/>
    </row>
    <row r="40" spans="1:86" ht="15" x14ac:dyDescent="0.25">
      <c r="A40" s="991"/>
      <c r="B40" s="990"/>
      <c r="C40" s="990"/>
      <c r="D40" s="990"/>
      <c r="E40" s="990"/>
      <c r="F40" s="990"/>
      <c r="G40" s="990"/>
    </row>
    <row r="41" spans="1:86" ht="15" x14ac:dyDescent="0.25">
      <c r="A41" s="991"/>
      <c r="B41" s="990"/>
      <c r="C41" s="990"/>
      <c r="D41" s="990"/>
      <c r="E41" s="990"/>
      <c r="F41" s="990"/>
      <c r="G41" s="990"/>
    </row>
    <row r="42" spans="1:86" ht="15" x14ac:dyDescent="0.25">
      <c r="A42" s="991"/>
      <c r="B42" s="990"/>
      <c r="C42" s="990"/>
      <c r="D42" s="990"/>
      <c r="E42" s="990"/>
      <c r="F42" s="990"/>
      <c r="G42" s="990"/>
    </row>
    <row r="43" spans="1:86" ht="15" x14ac:dyDescent="0.25">
      <c r="A43" s="991"/>
      <c r="B43" s="990"/>
      <c r="C43" s="990"/>
      <c r="D43" s="990"/>
      <c r="E43" s="990"/>
      <c r="F43" s="990"/>
      <c r="G43" s="990"/>
    </row>
    <row r="44" spans="1:86" ht="15" x14ac:dyDescent="0.25">
      <c r="A44" s="991"/>
      <c r="B44" s="990"/>
      <c r="C44" s="990"/>
      <c r="D44" s="990"/>
      <c r="E44" s="990"/>
      <c r="F44" s="990"/>
      <c r="G44" s="990"/>
    </row>
    <row r="45" spans="1:86" ht="15" x14ac:dyDescent="0.25">
      <c r="A45" s="991"/>
      <c r="B45" s="990"/>
      <c r="C45" s="990"/>
      <c r="D45" s="990"/>
      <c r="E45" s="990"/>
      <c r="F45" s="990"/>
      <c r="G45" s="990"/>
    </row>
    <row r="46" spans="1:86" ht="15" x14ac:dyDescent="0.25">
      <c r="A46" s="991"/>
      <c r="B46" s="990"/>
      <c r="C46" s="990"/>
      <c r="D46" s="990"/>
      <c r="E46" s="990"/>
      <c r="F46" s="990"/>
      <c r="G46" s="990"/>
    </row>
    <row r="47" spans="1:86" ht="15" x14ac:dyDescent="0.25">
      <c r="A47" s="991"/>
      <c r="B47" s="990"/>
      <c r="C47" s="990"/>
      <c r="D47" s="990"/>
      <c r="E47" s="990"/>
      <c r="F47" s="990"/>
      <c r="G47" s="990"/>
    </row>
    <row r="48" spans="1:86" ht="15" x14ac:dyDescent="0.25">
      <c r="A48" s="991"/>
      <c r="B48" s="990"/>
      <c r="C48" s="990"/>
      <c r="D48" s="990"/>
      <c r="E48" s="990"/>
      <c r="F48" s="990"/>
      <c r="G48" s="990"/>
    </row>
    <row r="49" spans="1:7" ht="19.5" customHeight="1" x14ac:dyDescent="0.25">
      <c r="A49" s="991"/>
      <c r="B49" s="990"/>
      <c r="C49" s="990"/>
      <c r="D49" s="990"/>
      <c r="E49" s="990"/>
      <c r="F49" s="990"/>
      <c r="G49" s="990"/>
    </row>
    <row r="50" spans="1:7" ht="19.5" customHeight="1" x14ac:dyDescent="0.25">
      <c r="A50" s="991"/>
      <c r="B50" s="990"/>
      <c r="C50" s="990"/>
      <c r="D50" s="990"/>
      <c r="E50" s="990"/>
      <c r="F50" s="990"/>
      <c r="G50" s="990"/>
    </row>
    <row r="51" spans="1:7" ht="15" x14ac:dyDescent="0.25">
      <c r="A51" s="991"/>
      <c r="B51" s="990"/>
      <c r="C51" s="990"/>
      <c r="D51" s="990"/>
      <c r="E51" s="990"/>
      <c r="F51" s="990"/>
      <c r="G51" s="990"/>
    </row>
    <row r="52" spans="1:7" ht="15" x14ac:dyDescent="0.25">
      <c r="A52" s="991"/>
      <c r="B52" s="990"/>
      <c r="C52" s="990"/>
      <c r="D52" s="990"/>
      <c r="E52" s="990"/>
      <c r="F52" s="990"/>
      <c r="G52" s="990"/>
    </row>
    <row r="53" spans="1:7" ht="15" x14ac:dyDescent="0.25">
      <c r="A53" s="991"/>
      <c r="B53" s="990"/>
      <c r="C53" s="990"/>
      <c r="D53" s="990"/>
      <c r="E53" s="990"/>
      <c r="F53" s="990"/>
      <c r="G53" s="990"/>
    </row>
    <row r="54" spans="1:7" ht="15" x14ac:dyDescent="0.25">
      <c r="A54" s="991"/>
      <c r="B54" s="990"/>
      <c r="C54" s="990"/>
      <c r="D54" s="990"/>
      <c r="E54" s="990"/>
      <c r="F54" s="990"/>
      <c r="G54" s="990"/>
    </row>
    <row r="55" spans="1:7" ht="15" x14ac:dyDescent="0.25">
      <c r="A55" s="991"/>
      <c r="B55" s="990"/>
      <c r="C55" s="990"/>
      <c r="D55" s="990"/>
      <c r="E55" s="990"/>
      <c r="F55" s="990"/>
      <c r="G55" s="990"/>
    </row>
    <row r="56" spans="1:7" ht="15" x14ac:dyDescent="0.25">
      <c r="A56" s="991"/>
      <c r="B56" s="990"/>
      <c r="C56" s="990"/>
      <c r="D56" s="990"/>
      <c r="E56" s="990"/>
      <c r="F56" s="990"/>
      <c r="G56" s="990"/>
    </row>
    <row r="57" spans="1:7" ht="15" x14ac:dyDescent="0.25">
      <c r="A57" s="991"/>
      <c r="B57" s="990"/>
      <c r="C57" s="990"/>
      <c r="D57" s="990"/>
      <c r="E57" s="990"/>
      <c r="F57" s="990"/>
      <c r="G57" s="990"/>
    </row>
    <row r="58" spans="1:7" ht="15" x14ac:dyDescent="0.25">
      <c r="A58" s="991"/>
      <c r="B58" s="990"/>
      <c r="C58" s="990"/>
      <c r="D58" s="990"/>
      <c r="E58" s="990"/>
      <c r="F58" s="990"/>
      <c r="G58" s="990"/>
    </row>
    <row r="59" spans="1:7" ht="15" x14ac:dyDescent="0.25">
      <c r="A59" s="991"/>
      <c r="B59" s="990"/>
      <c r="C59" s="990"/>
      <c r="D59" s="990"/>
      <c r="E59" s="990"/>
      <c r="F59" s="990"/>
      <c r="G59" s="990"/>
    </row>
    <row r="60" spans="1:7" ht="15" x14ac:dyDescent="0.25">
      <c r="A60" s="991"/>
      <c r="B60" s="990"/>
      <c r="C60" s="990"/>
      <c r="D60" s="990"/>
      <c r="E60" s="990"/>
      <c r="F60" s="990"/>
      <c r="G60" s="990"/>
    </row>
    <row r="61" spans="1:7" ht="15" x14ac:dyDescent="0.25">
      <c r="A61" s="991"/>
      <c r="B61" s="990"/>
      <c r="C61" s="990"/>
      <c r="D61" s="990"/>
      <c r="E61" s="990"/>
      <c r="F61" s="990"/>
      <c r="G61" s="990"/>
    </row>
    <row r="62" spans="1:7" ht="15" x14ac:dyDescent="0.25">
      <c r="A62" s="991"/>
      <c r="B62" s="990"/>
      <c r="C62" s="990"/>
      <c r="D62" s="990"/>
      <c r="E62" s="990"/>
      <c r="F62" s="990"/>
      <c r="G62" s="990"/>
    </row>
    <row r="63" spans="1:7" ht="15" x14ac:dyDescent="0.25">
      <c r="A63" s="991"/>
      <c r="B63" s="990"/>
      <c r="C63" s="990"/>
      <c r="D63" s="990"/>
      <c r="E63" s="990"/>
      <c r="F63" s="990"/>
      <c r="G63" s="990"/>
    </row>
    <row r="64" spans="1:7" ht="15" x14ac:dyDescent="0.25">
      <c r="A64" s="991"/>
      <c r="B64" s="990"/>
      <c r="C64" s="990"/>
      <c r="D64" s="990"/>
      <c r="E64" s="990"/>
      <c r="F64" s="990"/>
      <c r="G64" s="990"/>
    </row>
    <row r="65" spans="1:7" ht="15" x14ac:dyDescent="0.25">
      <c r="A65" s="991"/>
      <c r="B65" s="990"/>
      <c r="C65" s="990"/>
      <c r="D65" s="990"/>
      <c r="E65" s="990"/>
      <c r="F65" s="990"/>
      <c r="G65" s="990"/>
    </row>
    <row r="66" spans="1:7" ht="15" x14ac:dyDescent="0.25">
      <c r="A66" s="991"/>
      <c r="B66" s="990"/>
      <c r="C66" s="990"/>
      <c r="D66" s="990"/>
      <c r="E66" s="990"/>
      <c r="F66" s="990"/>
      <c r="G66" s="990"/>
    </row>
    <row r="67" spans="1:7" ht="15" x14ac:dyDescent="0.25">
      <c r="A67" s="991"/>
      <c r="B67" s="990"/>
      <c r="C67" s="990"/>
      <c r="D67" s="990"/>
      <c r="E67" s="990"/>
      <c r="F67" s="990"/>
      <c r="G67" s="990"/>
    </row>
    <row r="68" spans="1:7" ht="15" x14ac:dyDescent="0.25">
      <c r="A68" s="991"/>
      <c r="B68" s="990"/>
      <c r="C68" s="990"/>
      <c r="D68" s="990"/>
      <c r="E68" s="990"/>
      <c r="F68" s="990"/>
      <c r="G68" s="990"/>
    </row>
    <row r="69" spans="1:7" ht="15" x14ac:dyDescent="0.25">
      <c r="A69" s="991"/>
      <c r="B69" s="990"/>
      <c r="C69" s="990"/>
      <c r="D69" s="990"/>
      <c r="E69" s="990"/>
      <c r="F69" s="990"/>
      <c r="G69" s="990"/>
    </row>
    <row r="70" spans="1:7" ht="15" x14ac:dyDescent="0.25">
      <c r="A70" s="991"/>
      <c r="B70" s="990"/>
      <c r="C70" s="990"/>
      <c r="D70" s="990"/>
      <c r="E70" s="990"/>
      <c r="F70" s="990"/>
      <c r="G70" s="990"/>
    </row>
    <row r="71" spans="1:7" ht="15" x14ac:dyDescent="0.25">
      <c r="A71" s="991"/>
      <c r="B71" s="990"/>
      <c r="C71" s="990"/>
      <c r="D71" s="990"/>
      <c r="E71" s="990"/>
      <c r="F71" s="990"/>
      <c r="G71" s="990"/>
    </row>
    <row r="72" spans="1:7" ht="15" x14ac:dyDescent="0.25">
      <c r="A72" s="991"/>
      <c r="B72" s="990"/>
      <c r="C72" s="990"/>
      <c r="D72" s="990"/>
      <c r="E72" s="990"/>
      <c r="F72" s="990"/>
      <c r="G72" s="990"/>
    </row>
    <row r="73" spans="1:7" ht="15" x14ac:dyDescent="0.25">
      <c r="A73" s="991"/>
      <c r="B73" s="990"/>
      <c r="C73" s="990"/>
      <c r="D73" s="990"/>
      <c r="E73" s="990"/>
      <c r="F73" s="990"/>
      <c r="G73" s="990"/>
    </row>
    <row r="74" spans="1:7" ht="15" x14ac:dyDescent="0.25">
      <c r="A74" s="991"/>
      <c r="B74" s="990"/>
      <c r="C74" s="990"/>
      <c r="D74" s="990"/>
      <c r="E74" s="990"/>
      <c r="F74" s="990"/>
      <c r="G74" s="990"/>
    </row>
    <row r="75" spans="1:7" ht="15" x14ac:dyDescent="0.25">
      <c r="A75" s="991"/>
      <c r="B75" s="990"/>
      <c r="C75" s="990"/>
      <c r="D75" s="990"/>
      <c r="E75" s="990"/>
      <c r="F75" s="990"/>
      <c r="G75" s="990"/>
    </row>
    <row r="76" spans="1:7" ht="15" x14ac:dyDescent="0.25">
      <c r="A76" s="991"/>
      <c r="B76" s="990"/>
      <c r="C76" s="990"/>
      <c r="D76" s="990"/>
      <c r="E76" s="990"/>
      <c r="F76" s="990"/>
      <c r="G76" s="990"/>
    </row>
    <row r="77" spans="1:7" ht="15" x14ac:dyDescent="0.25">
      <c r="A77" s="991"/>
      <c r="B77" s="990"/>
      <c r="C77" s="990"/>
      <c r="D77" s="990"/>
      <c r="E77" s="990"/>
      <c r="F77" s="990"/>
      <c r="G77" s="990"/>
    </row>
    <row r="78" spans="1:7" ht="15" x14ac:dyDescent="0.25">
      <c r="A78" s="991"/>
      <c r="B78" s="990"/>
      <c r="C78" s="990"/>
      <c r="D78" s="990"/>
      <c r="E78" s="990"/>
      <c r="F78" s="990"/>
      <c r="G78" s="990"/>
    </row>
    <row r="79" spans="1:7" ht="15" x14ac:dyDescent="0.25">
      <c r="A79" s="991"/>
      <c r="B79" s="990"/>
      <c r="C79" s="990"/>
      <c r="D79" s="990"/>
      <c r="E79" s="990"/>
      <c r="F79" s="990"/>
      <c r="G79" s="990"/>
    </row>
    <row r="80" spans="1:7" ht="15" x14ac:dyDescent="0.25">
      <c r="A80" s="991"/>
      <c r="B80" s="990"/>
      <c r="C80" s="990"/>
      <c r="D80" s="990"/>
      <c r="E80" s="990"/>
      <c r="F80" s="990"/>
      <c r="G80" s="990"/>
    </row>
    <row r="81" spans="1:7" ht="15" x14ac:dyDescent="0.25">
      <c r="A81" s="991"/>
      <c r="B81" s="990"/>
      <c r="C81" s="990"/>
      <c r="D81" s="990"/>
      <c r="E81" s="990"/>
      <c r="F81" s="990"/>
      <c r="G81" s="990"/>
    </row>
    <row r="82" spans="1:7" ht="15" x14ac:dyDescent="0.25">
      <c r="A82" s="991"/>
      <c r="B82" s="990"/>
      <c r="C82" s="990"/>
      <c r="D82" s="990"/>
      <c r="E82" s="990"/>
      <c r="F82" s="990"/>
      <c r="G82" s="990"/>
    </row>
    <row r="83" spans="1:7" ht="15" x14ac:dyDescent="0.25">
      <c r="A83" s="991"/>
      <c r="B83" s="990"/>
      <c r="C83" s="990"/>
      <c r="D83" s="990"/>
      <c r="E83" s="990"/>
      <c r="F83" s="990"/>
      <c r="G83" s="990"/>
    </row>
    <row r="84" spans="1:7" ht="18.75" customHeight="1" x14ac:dyDescent="0.25">
      <c r="A84" s="991"/>
      <c r="B84" s="990"/>
      <c r="C84" s="990"/>
      <c r="D84" s="990"/>
      <c r="E84" s="990"/>
      <c r="F84" s="990"/>
      <c r="G84" s="990"/>
    </row>
    <row r="85" spans="1:7" ht="18.75" customHeight="1" x14ac:dyDescent="0.25">
      <c r="A85" s="991"/>
      <c r="B85" s="990"/>
      <c r="C85" s="990"/>
      <c r="D85" s="990"/>
      <c r="E85" s="990"/>
      <c r="F85" s="990"/>
      <c r="G85" s="990"/>
    </row>
    <row r="86" spans="1:7" ht="18.75" customHeight="1" x14ac:dyDescent="0.25">
      <c r="A86" s="991"/>
      <c r="B86" s="990"/>
      <c r="C86" s="990"/>
      <c r="D86" s="990"/>
      <c r="E86" s="990"/>
      <c r="F86" s="990"/>
      <c r="G86" s="990"/>
    </row>
    <row r="87" spans="1:7" ht="18.75" customHeight="1" x14ac:dyDescent="0.25">
      <c r="A87" s="991"/>
      <c r="B87" s="990"/>
      <c r="C87" s="990"/>
      <c r="D87" s="990"/>
      <c r="E87" s="990"/>
      <c r="F87" s="990"/>
      <c r="G87" s="990"/>
    </row>
    <row r="88" spans="1:7" ht="18.75" customHeight="1" x14ac:dyDescent="0.25">
      <c r="A88" s="991"/>
      <c r="B88" s="990"/>
      <c r="C88" s="990"/>
      <c r="D88" s="990"/>
      <c r="E88" s="990"/>
      <c r="F88" s="990"/>
      <c r="G88" s="990"/>
    </row>
    <row r="89" spans="1:7" ht="18.75" customHeight="1" x14ac:dyDescent="0.25">
      <c r="A89" s="991"/>
      <c r="B89" s="990"/>
      <c r="C89" s="990"/>
      <c r="D89" s="990"/>
      <c r="E89" s="990"/>
      <c r="F89" s="990"/>
      <c r="G89" s="990"/>
    </row>
    <row r="90" spans="1:7" ht="18.75" customHeight="1" x14ac:dyDescent="0.25">
      <c r="A90" s="991"/>
      <c r="B90" s="990"/>
      <c r="C90" s="990"/>
      <c r="D90" s="990"/>
      <c r="E90" s="990"/>
      <c r="F90" s="990"/>
      <c r="G90" s="990"/>
    </row>
    <row r="91" spans="1:7" ht="18.75" customHeight="1" x14ac:dyDescent="0.25">
      <c r="A91" s="991"/>
      <c r="B91" s="990"/>
      <c r="C91" s="990"/>
      <c r="D91" s="990"/>
      <c r="E91" s="990"/>
      <c r="F91" s="990"/>
      <c r="G91" s="990"/>
    </row>
    <row r="92" spans="1:7" ht="18.75" customHeight="1" x14ac:dyDescent="0.25">
      <c r="A92" s="991"/>
      <c r="B92" s="990"/>
      <c r="C92" s="990"/>
      <c r="D92" s="990"/>
      <c r="E92" s="990"/>
      <c r="F92" s="990"/>
      <c r="G92" s="990"/>
    </row>
    <row r="93" spans="1:7" ht="18.75" customHeight="1" x14ac:dyDescent="0.25">
      <c r="A93" s="991"/>
      <c r="B93" s="990"/>
      <c r="C93" s="990"/>
      <c r="D93" s="990"/>
      <c r="E93" s="990"/>
      <c r="F93" s="990"/>
      <c r="G93" s="990"/>
    </row>
    <row r="94" spans="1:7" ht="18.75" customHeight="1" x14ac:dyDescent="0.25">
      <c r="A94" s="991"/>
      <c r="B94" s="990"/>
      <c r="C94" s="990"/>
      <c r="D94" s="990"/>
      <c r="E94" s="990"/>
      <c r="F94" s="990"/>
      <c r="G94" s="990"/>
    </row>
    <row r="95" spans="1:7" ht="18.75" customHeight="1" x14ac:dyDescent="0.25">
      <c r="A95" s="991"/>
      <c r="B95" s="990"/>
      <c r="C95" s="990"/>
      <c r="D95" s="990"/>
      <c r="E95" s="990"/>
      <c r="F95" s="990"/>
      <c r="G95" s="990"/>
    </row>
    <row r="96" spans="1:7" ht="18.75" customHeight="1" x14ac:dyDescent="0.25">
      <c r="A96" s="991"/>
      <c r="B96" s="990"/>
      <c r="C96" s="990"/>
      <c r="D96" s="990"/>
      <c r="E96" s="990"/>
      <c r="F96" s="990"/>
      <c r="G96" s="990"/>
    </row>
    <row r="97" spans="1:7" ht="18.75" customHeight="1" x14ac:dyDescent="0.25">
      <c r="A97" s="991"/>
      <c r="B97" s="990"/>
      <c r="C97" s="990"/>
      <c r="D97" s="990"/>
      <c r="E97" s="990"/>
      <c r="F97" s="990"/>
      <c r="G97" s="990"/>
    </row>
    <row r="98" spans="1:7" ht="18.75" customHeight="1" x14ac:dyDescent="0.25">
      <c r="A98" s="991"/>
      <c r="B98" s="990"/>
      <c r="C98" s="990"/>
      <c r="D98" s="990"/>
      <c r="E98" s="990"/>
      <c r="F98" s="990"/>
      <c r="G98" s="990"/>
    </row>
    <row r="99" spans="1:7" ht="18.75" customHeight="1" x14ac:dyDescent="0.25">
      <c r="A99" s="991"/>
      <c r="B99" s="990"/>
      <c r="C99" s="990"/>
      <c r="D99" s="990"/>
      <c r="E99" s="990"/>
      <c r="F99" s="990"/>
      <c r="G99" s="990"/>
    </row>
    <row r="100" spans="1:7" ht="18.75" customHeight="1" x14ac:dyDescent="0.25">
      <c r="A100" s="991"/>
      <c r="B100" s="990"/>
      <c r="C100" s="990"/>
      <c r="D100" s="990"/>
      <c r="E100" s="990"/>
      <c r="F100" s="990"/>
      <c r="G100" s="990"/>
    </row>
    <row r="101" spans="1:7" ht="18.75" customHeight="1" x14ac:dyDescent="0.25">
      <c r="A101" s="991"/>
      <c r="B101" s="990"/>
      <c r="C101" s="990"/>
      <c r="D101" s="990"/>
      <c r="E101" s="990"/>
      <c r="F101" s="990"/>
      <c r="G101" s="990"/>
    </row>
    <row r="102" spans="1:7" ht="18.75" customHeight="1" x14ac:dyDescent="0.25">
      <c r="A102" s="991"/>
      <c r="B102" s="990"/>
      <c r="C102" s="990"/>
      <c r="D102" s="990"/>
      <c r="E102" s="990"/>
      <c r="F102" s="990"/>
      <c r="G102" s="990"/>
    </row>
    <row r="103" spans="1:7" ht="18.75" customHeight="1" x14ac:dyDescent="0.25">
      <c r="A103" s="991"/>
      <c r="B103" s="990"/>
      <c r="C103" s="990"/>
      <c r="D103" s="990"/>
      <c r="E103" s="990"/>
      <c r="F103" s="990"/>
      <c r="G103" s="990"/>
    </row>
    <row r="104" spans="1:7" ht="18.75" customHeight="1" x14ac:dyDescent="0.25">
      <c r="A104" s="991"/>
      <c r="B104" s="990"/>
      <c r="C104" s="990"/>
      <c r="D104" s="990"/>
      <c r="E104" s="990"/>
      <c r="F104" s="990"/>
      <c r="G104" s="990"/>
    </row>
    <row r="105" spans="1:7" ht="18.75" customHeight="1" x14ac:dyDescent="0.25">
      <c r="A105" s="991"/>
      <c r="B105" s="990"/>
      <c r="C105" s="990"/>
      <c r="D105" s="990"/>
      <c r="E105" s="990"/>
      <c r="F105" s="990"/>
      <c r="G105" s="990"/>
    </row>
    <row r="106" spans="1:7" ht="18.75" customHeight="1" x14ac:dyDescent="0.25">
      <c r="A106" s="991"/>
      <c r="B106" s="990"/>
      <c r="C106" s="990"/>
      <c r="D106" s="990"/>
      <c r="E106" s="990"/>
      <c r="F106" s="990"/>
      <c r="G106" s="990"/>
    </row>
    <row r="107" spans="1:7" ht="18.75" customHeight="1" x14ac:dyDescent="0.25">
      <c r="A107" s="991"/>
      <c r="B107" s="990"/>
      <c r="C107" s="990"/>
      <c r="D107" s="990"/>
      <c r="E107" s="990"/>
      <c r="F107" s="990"/>
      <c r="G107" s="990"/>
    </row>
    <row r="108" spans="1:7" ht="18.75" customHeight="1" x14ac:dyDescent="0.25">
      <c r="A108" s="991"/>
      <c r="B108" s="990"/>
      <c r="C108" s="990"/>
      <c r="D108" s="990"/>
      <c r="E108" s="990"/>
      <c r="F108" s="990"/>
      <c r="G108" s="990"/>
    </row>
    <row r="109" spans="1:7" ht="18.75" customHeight="1" x14ac:dyDescent="0.25">
      <c r="A109" s="991"/>
      <c r="B109" s="990"/>
      <c r="C109" s="990"/>
      <c r="D109" s="990"/>
      <c r="E109" s="990"/>
      <c r="F109" s="990"/>
      <c r="G109" s="990"/>
    </row>
    <row r="110" spans="1:7" ht="18.75" customHeight="1" x14ac:dyDescent="0.25">
      <c r="A110" s="991"/>
      <c r="B110" s="990"/>
      <c r="C110" s="990"/>
      <c r="D110" s="990"/>
      <c r="E110" s="990"/>
      <c r="F110" s="990"/>
      <c r="G110" s="990"/>
    </row>
    <row r="111" spans="1:7" ht="18.75" customHeight="1" x14ac:dyDescent="0.25">
      <c r="A111" s="991"/>
      <c r="B111" s="990"/>
      <c r="C111" s="990"/>
      <c r="D111" s="990"/>
      <c r="E111" s="990"/>
      <c r="F111" s="990"/>
      <c r="G111" s="990"/>
    </row>
    <row r="112" spans="1:7" ht="18.75" customHeight="1" x14ac:dyDescent="0.25">
      <c r="A112" s="991"/>
      <c r="B112" s="990"/>
      <c r="C112" s="990"/>
      <c r="D112" s="990"/>
      <c r="E112" s="990"/>
      <c r="F112" s="990"/>
      <c r="G112" s="990"/>
    </row>
    <row r="113" spans="1:7" ht="18.75" customHeight="1" x14ac:dyDescent="0.25">
      <c r="A113" s="991"/>
      <c r="B113" s="990"/>
      <c r="C113" s="990"/>
      <c r="D113" s="990"/>
      <c r="E113" s="990"/>
      <c r="F113" s="990"/>
      <c r="G113" s="990"/>
    </row>
    <row r="114" spans="1:7" ht="18.75" customHeight="1" x14ac:dyDescent="0.25">
      <c r="A114" s="991"/>
      <c r="B114" s="990"/>
      <c r="C114" s="990"/>
      <c r="D114" s="990"/>
      <c r="E114" s="990"/>
      <c r="F114" s="990"/>
      <c r="G114" s="990"/>
    </row>
    <row r="115" spans="1:7" ht="18.75" customHeight="1" x14ac:dyDescent="0.25">
      <c r="A115" s="991"/>
      <c r="B115" s="990"/>
      <c r="C115" s="990"/>
      <c r="D115" s="990"/>
      <c r="E115" s="990"/>
      <c r="F115" s="990"/>
      <c r="G115" s="990"/>
    </row>
    <row r="116" spans="1:7" ht="18.75" customHeight="1" x14ac:dyDescent="0.25">
      <c r="A116" s="991"/>
      <c r="B116" s="990"/>
      <c r="C116" s="990"/>
      <c r="D116" s="990"/>
      <c r="E116" s="990"/>
      <c r="F116" s="990"/>
      <c r="G116" s="990"/>
    </row>
    <row r="117" spans="1:7" ht="18.75" customHeight="1" x14ac:dyDescent="0.25">
      <c r="A117" s="991"/>
      <c r="B117" s="990"/>
      <c r="C117" s="990"/>
      <c r="D117" s="990"/>
      <c r="E117" s="990"/>
      <c r="F117" s="990"/>
      <c r="G117" s="990"/>
    </row>
    <row r="118" spans="1:7" ht="18.75" customHeight="1" x14ac:dyDescent="0.25">
      <c r="A118" s="991"/>
      <c r="B118" s="990"/>
      <c r="C118" s="990"/>
      <c r="D118" s="990"/>
      <c r="E118" s="990"/>
      <c r="F118" s="990"/>
      <c r="G118" s="990"/>
    </row>
    <row r="119" spans="1:7" ht="18.75" customHeight="1" x14ac:dyDescent="0.25">
      <c r="A119" s="991"/>
      <c r="B119" s="990"/>
      <c r="C119" s="990"/>
      <c r="D119" s="990"/>
      <c r="E119" s="990"/>
      <c r="F119" s="990"/>
      <c r="G119" s="990"/>
    </row>
    <row r="120" spans="1:7" ht="18.75" customHeight="1" x14ac:dyDescent="0.25">
      <c r="A120" s="991"/>
      <c r="B120" s="990"/>
      <c r="C120" s="990"/>
      <c r="D120" s="990"/>
      <c r="E120" s="990"/>
      <c r="F120" s="990"/>
      <c r="G120" s="990"/>
    </row>
    <row r="121" spans="1:7" ht="18.75" customHeight="1" x14ac:dyDescent="0.25">
      <c r="A121" s="991"/>
      <c r="B121" s="990"/>
      <c r="C121" s="990"/>
      <c r="D121" s="990"/>
      <c r="E121" s="990"/>
      <c r="F121" s="990"/>
      <c r="G121" s="990"/>
    </row>
    <row r="122" spans="1:7" ht="18.75" customHeight="1" x14ac:dyDescent="0.25">
      <c r="A122" s="991"/>
      <c r="B122" s="990"/>
      <c r="C122" s="990"/>
      <c r="D122" s="990"/>
      <c r="E122" s="990"/>
      <c r="F122" s="990"/>
      <c r="G122" s="990"/>
    </row>
    <row r="123" spans="1:7" ht="18.75" customHeight="1" x14ac:dyDescent="0.25">
      <c r="A123" s="991"/>
      <c r="B123" s="990"/>
      <c r="C123" s="990"/>
      <c r="D123" s="990"/>
      <c r="E123" s="990"/>
      <c r="F123" s="990"/>
      <c r="G123" s="990"/>
    </row>
    <row r="124" spans="1:7" ht="18.75" customHeight="1" x14ac:dyDescent="0.25">
      <c r="A124" s="991"/>
      <c r="B124" s="990"/>
      <c r="C124" s="990"/>
      <c r="D124" s="990"/>
      <c r="E124" s="990"/>
      <c r="F124" s="990"/>
      <c r="G124" s="990"/>
    </row>
    <row r="125" spans="1:7" ht="18.75" customHeight="1" x14ac:dyDescent="0.25">
      <c r="A125" s="991"/>
      <c r="B125" s="990"/>
      <c r="C125" s="990"/>
      <c r="D125" s="990"/>
      <c r="E125" s="990"/>
      <c r="F125" s="990"/>
      <c r="G125" s="990"/>
    </row>
    <row r="126" spans="1:7" ht="18.75" customHeight="1" x14ac:dyDescent="0.25">
      <c r="A126" s="991"/>
      <c r="B126" s="990"/>
      <c r="C126" s="990"/>
      <c r="D126" s="990"/>
      <c r="E126" s="990"/>
      <c r="F126" s="990"/>
      <c r="G126" s="990"/>
    </row>
    <row r="127" spans="1:7" ht="18.75" customHeight="1" x14ac:dyDescent="0.25">
      <c r="A127" s="991"/>
      <c r="B127" s="990"/>
      <c r="C127" s="990"/>
      <c r="D127" s="990"/>
      <c r="E127" s="990"/>
      <c r="F127" s="990"/>
      <c r="G127" s="990"/>
    </row>
    <row r="128" spans="1:7" ht="18.75" customHeight="1" x14ac:dyDescent="0.25">
      <c r="A128" s="991"/>
      <c r="B128" s="990"/>
      <c r="C128" s="990"/>
      <c r="D128" s="990"/>
      <c r="E128" s="990"/>
      <c r="F128" s="990"/>
      <c r="G128" s="990"/>
    </row>
    <row r="129" spans="1:7" ht="18.75" customHeight="1" x14ac:dyDescent="0.25">
      <c r="A129" s="991"/>
      <c r="B129" s="990"/>
      <c r="C129" s="990"/>
      <c r="D129" s="990"/>
      <c r="E129" s="990"/>
      <c r="F129" s="990"/>
      <c r="G129" s="990"/>
    </row>
    <row r="130" spans="1:7" ht="18.75" customHeight="1" x14ac:dyDescent="0.25">
      <c r="A130" s="991"/>
      <c r="B130" s="990"/>
      <c r="C130" s="990"/>
      <c r="D130" s="990"/>
      <c r="E130" s="990"/>
      <c r="F130" s="990"/>
      <c r="G130" s="990"/>
    </row>
    <row r="131" spans="1:7" ht="18.75" customHeight="1" x14ac:dyDescent="0.25">
      <c r="A131" s="991"/>
      <c r="B131" s="990"/>
      <c r="C131" s="990"/>
      <c r="D131" s="990"/>
      <c r="E131" s="990"/>
      <c r="F131" s="990"/>
      <c r="G131" s="990"/>
    </row>
    <row r="132" spans="1:7" ht="18.75" customHeight="1" x14ac:dyDescent="0.25">
      <c r="A132" s="991"/>
      <c r="B132" s="990"/>
      <c r="C132" s="990"/>
      <c r="D132" s="990"/>
      <c r="E132" s="990"/>
      <c r="F132" s="990"/>
      <c r="G132" s="990"/>
    </row>
    <row r="133" spans="1:7" ht="18.75" customHeight="1" x14ac:dyDescent="0.25">
      <c r="A133" s="991"/>
      <c r="B133" s="990"/>
      <c r="C133" s="990"/>
      <c r="D133" s="990"/>
      <c r="E133" s="990"/>
      <c r="F133" s="990"/>
      <c r="G133" s="990"/>
    </row>
    <row r="134" spans="1:7" ht="18.75" customHeight="1" x14ac:dyDescent="0.25">
      <c r="A134" s="991"/>
      <c r="B134" s="990"/>
      <c r="C134" s="990"/>
      <c r="D134" s="990"/>
      <c r="E134" s="990"/>
      <c r="F134" s="990"/>
      <c r="G134" s="990"/>
    </row>
    <row r="135" spans="1:7" ht="18.75" customHeight="1" x14ac:dyDescent="0.25">
      <c r="A135" s="991"/>
      <c r="B135" s="990"/>
      <c r="C135" s="990"/>
      <c r="D135" s="990"/>
      <c r="E135" s="990"/>
      <c r="F135" s="990"/>
      <c r="G135" s="990"/>
    </row>
    <row r="136" spans="1:7" ht="18.75" customHeight="1" x14ac:dyDescent="0.25">
      <c r="A136" s="991"/>
      <c r="B136" s="990"/>
      <c r="C136" s="990"/>
      <c r="D136" s="990"/>
      <c r="E136" s="990"/>
      <c r="F136" s="990"/>
      <c r="G136" s="990"/>
    </row>
    <row r="137" spans="1:7" ht="18.75" customHeight="1" x14ac:dyDescent="0.25">
      <c r="A137" s="991"/>
      <c r="B137" s="990"/>
      <c r="C137" s="990"/>
      <c r="D137" s="990"/>
      <c r="E137" s="990"/>
      <c r="F137" s="990"/>
      <c r="G137" s="990"/>
    </row>
    <row r="138" spans="1:7" ht="18.75" customHeight="1" x14ac:dyDescent="0.25">
      <c r="A138" s="991"/>
      <c r="B138" s="990"/>
      <c r="C138" s="990"/>
      <c r="D138" s="990"/>
      <c r="E138" s="990"/>
      <c r="F138" s="990"/>
      <c r="G138" s="990"/>
    </row>
    <row r="139" spans="1:7" ht="18.75" customHeight="1" x14ac:dyDescent="0.25">
      <c r="A139" s="991"/>
      <c r="B139" s="990"/>
      <c r="C139" s="990"/>
      <c r="D139" s="990"/>
      <c r="E139" s="990"/>
      <c r="F139" s="990"/>
      <c r="G139" s="990"/>
    </row>
    <row r="140" spans="1:7" ht="18.75" customHeight="1" x14ac:dyDescent="0.25">
      <c r="A140" s="991"/>
      <c r="B140" s="990"/>
      <c r="C140" s="990"/>
      <c r="D140" s="990"/>
      <c r="E140" s="990"/>
      <c r="F140" s="990"/>
      <c r="G140" s="990"/>
    </row>
    <row r="141" spans="1:7" ht="18.75" customHeight="1" x14ac:dyDescent="0.25">
      <c r="A141" s="991"/>
      <c r="B141" s="990"/>
      <c r="C141" s="990"/>
      <c r="D141" s="990"/>
      <c r="E141" s="990"/>
      <c r="F141" s="990"/>
      <c r="G141" s="990"/>
    </row>
    <row r="142" spans="1:7" ht="18.75" customHeight="1" x14ac:dyDescent="0.25">
      <c r="A142" s="991"/>
      <c r="B142" s="990"/>
      <c r="C142" s="990"/>
      <c r="D142" s="990"/>
      <c r="E142" s="990"/>
      <c r="F142" s="990"/>
      <c r="G142" s="990"/>
    </row>
    <row r="143" spans="1:7" ht="18.75" customHeight="1" x14ac:dyDescent="0.25">
      <c r="A143" s="991"/>
      <c r="B143" s="990"/>
      <c r="C143" s="990"/>
      <c r="D143" s="990"/>
      <c r="E143" s="990"/>
      <c r="F143" s="990"/>
      <c r="G143" s="990"/>
    </row>
    <row r="144" spans="1:7" ht="18.75" customHeight="1" x14ac:dyDescent="0.25">
      <c r="A144" s="991"/>
      <c r="B144" s="990"/>
      <c r="C144" s="990"/>
      <c r="D144" s="990"/>
      <c r="E144" s="990"/>
      <c r="F144" s="990"/>
      <c r="G144" s="990"/>
    </row>
    <row r="145" spans="1:7" ht="18.75" customHeight="1" x14ac:dyDescent="0.25">
      <c r="A145" s="991"/>
      <c r="B145" s="990"/>
      <c r="C145" s="990"/>
      <c r="D145" s="990"/>
      <c r="E145" s="990"/>
      <c r="F145" s="990"/>
      <c r="G145" s="990"/>
    </row>
    <row r="146" spans="1:7" ht="18.75" customHeight="1" x14ac:dyDescent="0.25">
      <c r="A146" s="991"/>
      <c r="B146" s="990"/>
      <c r="C146" s="990"/>
      <c r="D146" s="990"/>
      <c r="E146" s="990"/>
      <c r="F146" s="990"/>
      <c r="G146" s="990"/>
    </row>
    <row r="147" spans="1:7" ht="18.75" customHeight="1" x14ac:dyDescent="0.25">
      <c r="A147" s="991"/>
      <c r="B147" s="990"/>
      <c r="C147" s="990"/>
      <c r="D147" s="990"/>
      <c r="E147" s="990"/>
      <c r="F147" s="990"/>
      <c r="G147" s="990"/>
    </row>
    <row r="148" spans="1:7" ht="18.75" customHeight="1" x14ac:dyDescent="0.25">
      <c r="A148" s="991"/>
      <c r="B148" s="990"/>
      <c r="C148" s="990"/>
      <c r="D148" s="990"/>
      <c r="E148" s="990"/>
      <c r="F148" s="990"/>
      <c r="G148" s="990"/>
    </row>
    <row r="149" spans="1:7" ht="18.75" customHeight="1" x14ac:dyDescent="0.25">
      <c r="A149" s="991"/>
      <c r="B149" s="990"/>
      <c r="C149" s="990"/>
      <c r="D149" s="990"/>
      <c r="E149" s="990"/>
      <c r="F149" s="990"/>
      <c r="G149" s="990"/>
    </row>
    <row r="150" spans="1:7" ht="18.75" customHeight="1" x14ac:dyDescent="0.25">
      <c r="A150" s="991"/>
      <c r="B150" s="990"/>
      <c r="C150" s="990"/>
      <c r="D150" s="990"/>
      <c r="E150" s="990"/>
      <c r="F150" s="990"/>
      <c r="G150" s="990"/>
    </row>
    <row r="151" spans="1:7" ht="18.75" customHeight="1" x14ac:dyDescent="0.25">
      <c r="A151" s="991"/>
      <c r="B151" s="990"/>
      <c r="C151" s="990"/>
      <c r="D151" s="990"/>
      <c r="E151" s="990"/>
      <c r="F151" s="990"/>
      <c r="G151" s="990"/>
    </row>
    <row r="152" spans="1:7" ht="18.75" customHeight="1" x14ac:dyDescent="0.25">
      <c r="A152" s="991"/>
      <c r="B152" s="990"/>
      <c r="C152" s="990"/>
      <c r="D152" s="990"/>
      <c r="E152" s="990"/>
      <c r="F152" s="990"/>
      <c r="G152" s="990"/>
    </row>
  </sheetData>
  <mergeCells count="11">
    <mergeCell ref="B3:G3"/>
    <mergeCell ref="D26:E26"/>
    <mergeCell ref="A39:G39"/>
    <mergeCell ref="AF9:AH9"/>
    <mergeCell ref="AI9:AK9"/>
    <mergeCell ref="AF5:AH5"/>
    <mergeCell ref="AI5:AK5"/>
    <mergeCell ref="AF6:AH6"/>
    <mergeCell ref="AI6:AK6"/>
    <mergeCell ref="AF8:AH8"/>
    <mergeCell ref="AI8:AK8"/>
  </mergeCells>
  <pageMargins left="0.23622047244094491" right="3.937007874015748E-2" top="0.74803149606299213" bottom="0.15748031496062992" header="0.31496062992125984" footer="0.51181102362204722"/>
  <pageSetup paperSize="9" fitToWidth="0" fitToHeight="0" orientation="portrait" r:id="rId1"/>
  <headerFooter alignWithMargins="0">
    <oddHeader>&amp;C&amp;G</oddHeader>
  </headerFooter>
  <ignoredErrors>
    <ignoredError sqref="D12:F12"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L224"/>
  <sheetViews>
    <sheetView showGridLines="0" showRuler="0" zoomScaleNormal="100" workbookViewId="0">
      <selection sqref="A1:R1"/>
    </sheetView>
  </sheetViews>
  <sheetFormatPr defaultColWidth="3.5703125" defaultRowHeight="18.75" customHeight="1" x14ac:dyDescent="0.25"/>
  <cols>
    <col min="1" max="10" width="3.5703125" style="21"/>
    <col min="11" max="11" width="3.5703125" style="21" customWidth="1"/>
    <col min="12" max="15" width="3.5703125" style="21"/>
    <col min="16" max="16" width="3.5703125" style="23"/>
    <col min="17" max="26" width="3.5703125" style="21"/>
    <col min="27" max="27" width="3.5703125" style="21" customWidth="1"/>
    <col min="28" max="28" width="5.28515625" style="123" customWidth="1"/>
    <col min="29" max="29" width="14.5703125" style="94" bestFit="1" customWidth="1"/>
    <col min="30" max="30" width="24" style="94" bestFit="1" customWidth="1"/>
    <col min="31" max="31" width="9.5703125" style="94" bestFit="1" customWidth="1"/>
    <col min="32" max="32" width="10.28515625" style="94" bestFit="1" customWidth="1"/>
    <col min="33" max="42" width="3.5703125" style="94"/>
    <col min="43" max="49" width="3.5703125" style="129"/>
    <col min="50" max="50" width="8.5703125" style="129" customWidth="1"/>
    <col min="51" max="51" width="13.5703125" style="129" bestFit="1" customWidth="1"/>
    <col min="52" max="64" width="3.5703125" style="129"/>
    <col min="65" max="16384" width="3.5703125" style="21"/>
  </cols>
  <sheetData>
    <row r="1" spans="1:64" ht="48" customHeight="1" x14ac:dyDescent="0.25">
      <c r="A1" s="1534" t="s">
        <v>442</v>
      </c>
      <c r="B1" s="1534"/>
      <c r="C1" s="1534"/>
      <c r="D1" s="1534"/>
      <c r="E1" s="1534"/>
      <c r="F1" s="1534"/>
      <c r="G1" s="1534"/>
      <c r="H1" s="1534"/>
      <c r="I1" s="1534"/>
      <c r="J1" s="1534"/>
      <c r="K1" s="1534"/>
      <c r="L1" s="1534"/>
      <c r="M1" s="1534"/>
      <c r="N1" s="1534"/>
      <c r="O1" s="1534"/>
      <c r="P1" s="1534"/>
      <c r="Q1" s="1534"/>
      <c r="R1" s="1534"/>
      <c r="AC1" s="2082"/>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row>
    <row r="2" spans="1:64" s="1" customFormat="1" ht="12.75" x14ac:dyDescent="0.25">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67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1"/>
      <c r="BD2" s="131"/>
      <c r="BE2" s="131"/>
      <c r="BF2" s="131"/>
      <c r="BG2" s="131"/>
      <c r="BH2" s="131"/>
      <c r="BI2" s="131"/>
      <c r="BJ2" s="131"/>
      <c r="BK2" s="131"/>
      <c r="BL2" s="131"/>
    </row>
    <row r="3" spans="1:64" s="1" customFormat="1" ht="15" x14ac:dyDescent="0.25">
      <c r="A3" s="686"/>
      <c r="B3" s="1724" t="s">
        <v>669</v>
      </c>
      <c r="C3" s="1724"/>
      <c r="D3" s="1724"/>
      <c r="E3" s="1724"/>
      <c r="F3" s="1724"/>
      <c r="G3" s="1724"/>
      <c r="H3" s="1724"/>
      <c r="I3" s="1724"/>
      <c r="J3" s="1726" t="str">
        <f>+Profile!BE8</f>
        <v xml:space="preserve"> </v>
      </c>
      <c r="K3" s="1726"/>
      <c r="L3" s="1726"/>
      <c r="M3" s="1726"/>
      <c r="N3" s="1726"/>
      <c r="O3" s="1726"/>
      <c r="P3" s="1726"/>
      <c r="Q3" s="1726"/>
      <c r="R3" s="1726"/>
      <c r="S3" s="1726"/>
      <c r="T3" s="1726"/>
      <c r="U3" s="691"/>
      <c r="V3" s="691"/>
      <c r="W3" s="691"/>
      <c r="X3" s="691"/>
      <c r="Y3" s="691"/>
      <c r="Z3" s="691"/>
      <c r="AA3" s="686"/>
      <c r="AB3" s="675"/>
      <c r="AC3" s="135"/>
      <c r="AD3" s="135"/>
      <c r="AE3" s="94"/>
      <c r="AF3" s="135"/>
      <c r="AG3" s="135"/>
      <c r="AH3" s="135"/>
      <c r="AI3" s="135"/>
      <c r="AJ3" s="135"/>
      <c r="AK3" s="135"/>
      <c r="AL3" s="135"/>
      <c r="AM3" s="135"/>
      <c r="AN3" s="135"/>
      <c r="AO3" s="135"/>
      <c r="AP3" s="135"/>
      <c r="AQ3" s="131"/>
      <c r="AR3" s="131"/>
      <c r="AS3" s="131"/>
      <c r="AT3" s="131"/>
      <c r="AU3" s="131"/>
      <c r="AV3" s="131"/>
      <c r="AW3" s="131"/>
      <c r="AX3" s="131"/>
      <c r="AY3" s="131"/>
      <c r="AZ3" s="131"/>
      <c r="BA3" s="131"/>
      <c r="BB3" s="131"/>
      <c r="BC3" s="131"/>
      <c r="BD3" s="131"/>
      <c r="BE3" s="131"/>
      <c r="BF3" s="131"/>
      <c r="BG3" s="131"/>
      <c r="BH3" s="131"/>
      <c r="BI3" s="131"/>
      <c r="BJ3" s="131"/>
      <c r="BK3" s="131"/>
      <c r="BL3" s="131"/>
    </row>
    <row r="4" spans="1:64" s="27" customFormat="1" ht="14.65" customHeight="1" x14ac:dyDescent="0.25">
      <c r="A4" s="689"/>
      <c r="B4" s="694"/>
      <c r="C4" s="694"/>
      <c r="D4" s="694"/>
      <c r="E4" s="694"/>
      <c r="F4" s="694"/>
      <c r="G4" s="694"/>
      <c r="H4" s="694"/>
      <c r="I4" s="694"/>
      <c r="J4" s="695"/>
      <c r="K4" s="695"/>
      <c r="L4" s="695"/>
      <c r="M4" s="695"/>
      <c r="N4" s="695"/>
      <c r="O4" s="695"/>
      <c r="P4" s="695"/>
      <c r="Q4" s="695"/>
      <c r="R4" s="695"/>
      <c r="S4" s="695"/>
      <c r="T4" s="695"/>
      <c r="U4" s="694"/>
      <c r="V4" s="694"/>
      <c r="W4" s="694"/>
      <c r="X4" s="694"/>
      <c r="Y4" s="696"/>
      <c r="Z4" s="697"/>
      <c r="AA4" s="689"/>
      <c r="AB4" s="677"/>
      <c r="AC4" s="597"/>
      <c r="AD4" s="597"/>
      <c r="AE4" s="94"/>
      <c r="AF4" s="597"/>
      <c r="AG4" s="597"/>
      <c r="AH4" s="597"/>
      <c r="AI4" s="597"/>
      <c r="AJ4" s="597"/>
      <c r="AK4" s="597"/>
      <c r="AL4" s="597"/>
      <c r="AM4" s="597"/>
      <c r="AN4" s="597"/>
      <c r="AO4" s="597"/>
      <c r="AP4" s="597"/>
      <c r="AQ4" s="153"/>
      <c r="AR4" s="153"/>
      <c r="AS4" s="153"/>
      <c r="AT4" s="153"/>
      <c r="AU4" s="153"/>
      <c r="AV4" s="153"/>
      <c r="AW4" s="153"/>
      <c r="AX4" s="153"/>
      <c r="AY4" s="153"/>
      <c r="AZ4" s="153"/>
      <c r="BA4" s="153"/>
      <c r="BB4" s="153"/>
      <c r="BC4" s="153"/>
      <c r="BD4" s="153"/>
      <c r="BE4" s="153"/>
      <c r="BF4" s="153"/>
      <c r="BG4" s="153"/>
      <c r="BH4" s="153"/>
      <c r="BI4" s="153"/>
      <c r="BJ4" s="153"/>
      <c r="BK4" s="153"/>
      <c r="BL4" s="153"/>
    </row>
    <row r="5" spans="1:64" s="131" customFormat="1" ht="15" x14ac:dyDescent="0.25">
      <c r="A5" s="686"/>
      <c r="B5" s="1726" t="s">
        <v>443</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686"/>
      <c r="AB5" s="676"/>
      <c r="AC5" s="135"/>
      <c r="AD5" s="135"/>
      <c r="AE5" s="94"/>
      <c r="AF5" s="135"/>
      <c r="AG5" s="135"/>
      <c r="AH5" s="135"/>
      <c r="AI5" s="135"/>
      <c r="AJ5" s="135"/>
      <c r="AK5" s="135"/>
      <c r="AL5" s="135"/>
      <c r="AM5" s="135"/>
      <c r="AN5" s="135"/>
      <c r="AO5" s="135"/>
      <c r="AP5" s="135"/>
    </row>
    <row r="6" spans="1:64" s="129" customFormat="1" ht="18.75" customHeight="1" x14ac:dyDescent="0.25">
      <c r="A6" s="21"/>
      <c r="B6" s="21"/>
      <c r="C6" s="21"/>
      <c r="D6" s="21"/>
      <c r="E6" s="21"/>
      <c r="F6" s="21"/>
      <c r="G6" s="21"/>
      <c r="H6" s="21"/>
      <c r="I6" s="21"/>
      <c r="J6" s="21"/>
      <c r="K6" s="21"/>
      <c r="L6" s="21"/>
      <c r="M6" s="21"/>
      <c r="N6" s="21"/>
      <c r="O6" s="21"/>
      <c r="P6" s="23"/>
      <c r="Q6" s="21"/>
      <c r="R6" s="21"/>
      <c r="S6" s="21"/>
      <c r="T6" s="21"/>
      <c r="U6" s="21"/>
      <c r="V6" s="21"/>
      <c r="W6" s="21"/>
      <c r="X6" s="21"/>
      <c r="Y6" s="21"/>
      <c r="Z6" s="21"/>
      <c r="AA6" s="21"/>
      <c r="AB6" s="215"/>
      <c r="AC6" s="226"/>
      <c r="AD6" s="227"/>
      <c r="AI6" s="94"/>
      <c r="AJ6" s="94"/>
      <c r="AK6" s="94"/>
      <c r="AL6" s="94"/>
      <c r="AM6" s="94"/>
      <c r="AN6" s="94"/>
      <c r="AO6" s="94"/>
      <c r="AP6" s="94"/>
    </row>
    <row r="7" spans="1:64" s="129" customFormat="1" ht="26.25" customHeight="1" x14ac:dyDescent="0.25">
      <c r="A7" s="210"/>
      <c r="B7" s="861"/>
      <c r="C7" s="2092" t="s">
        <v>904</v>
      </c>
      <c r="D7" s="2092"/>
      <c r="E7" s="2092"/>
      <c r="F7" s="2092"/>
      <c r="G7" s="2092"/>
      <c r="H7" s="2092" t="s">
        <v>905</v>
      </c>
      <c r="I7" s="2092"/>
      <c r="J7" s="2092"/>
      <c r="K7" s="2092"/>
      <c r="L7" s="2092"/>
      <c r="M7" s="2092"/>
      <c r="N7" s="2092"/>
      <c r="O7" s="2092"/>
      <c r="P7" s="2092"/>
      <c r="Q7" s="2092"/>
      <c r="R7" s="2092"/>
      <c r="S7" s="2092"/>
      <c r="T7" s="2092"/>
      <c r="U7" s="2092"/>
      <c r="V7" s="2092"/>
      <c r="W7" s="2092"/>
      <c r="X7" s="2092"/>
      <c r="Y7" s="2092"/>
      <c r="Z7" s="2093" t="s">
        <v>446</v>
      </c>
      <c r="AA7" s="2093"/>
      <c r="AB7" s="215"/>
      <c r="AC7" s="226"/>
      <c r="AD7" s="227"/>
      <c r="AE7" s="94"/>
      <c r="AF7" s="94"/>
      <c r="AG7" s="94"/>
      <c r="AH7" s="94"/>
      <c r="AI7" s="94"/>
      <c r="AJ7" s="94"/>
      <c r="AK7" s="94"/>
      <c r="AL7" s="94"/>
      <c r="AM7" s="94"/>
      <c r="AN7" s="94"/>
      <c r="AO7" s="94"/>
      <c r="AP7" s="94"/>
    </row>
    <row r="8" spans="1:64" s="129" customFormat="1" ht="18" customHeight="1" x14ac:dyDescent="0.25">
      <c r="A8" s="210"/>
      <c r="B8" s="216">
        <v>1</v>
      </c>
      <c r="C8" s="2141" t="s">
        <v>908</v>
      </c>
      <c r="D8" s="2142"/>
      <c r="E8" s="2142"/>
      <c r="F8" s="2142"/>
      <c r="G8" s="2143"/>
      <c r="H8" s="2061" t="str">
        <f>CONCATENATE("Last 2 Payslips - ",+Profile!AJ5)</f>
        <v xml:space="preserve">Last 2 Payslips -  </v>
      </c>
      <c r="I8" s="2062"/>
      <c r="J8" s="2062"/>
      <c r="K8" s="2062"/>
      <c r="L8" s="2062"/>
      <c r="M8" s="2062"/>
      <c r="N8" s="2062"/>
      <c r="O8" s="2062"/>
      <c r="P8" s="2062"/>
      <c r="Q8" s="2062"/>
      <c r="R8" s="2062"/>
      <c r="S8" s="2062"/>
      <c r="T8" s="2062"/>
      <c r="U8" s="2062"/>
      <c r="V8" s="2062"/>
      <c r="W8" s="2062"/>
      <c r="X8" s="2062"/>
      <c r="Y8" s="2063"/>
      <c r="Z8" s="215"/>
      <c r="AA8" s="216"/>
      <c r="AB8" s="215"/>
      <c r="AC8" s="94"/>
      <c r="AD8" s="94"/>
      <c r="AE8" s="94"/>
      <c r="AF8" s="94"/>
      <c r="AG8" s="94"/>
      <c r="AH8" s="94"/>
      <c r="AI8" s="94"/>
      <c r="AJ8" s="94"/>
      <c r="AK8" s="94"/>
      <c r="AL8" s="94"/>
      <c r="AM8" s="94"/>
      <c r="AN8" s="94"/>
      <c r="AO8" s="94"/>
      <c r="AP8" s="94"/>
    </row>
    <row r="9" spans="1:64" s="129" customFormat="1" ht="18" customHeight="1" x14ac:dyDescent="0.25">
      <c r="A9" s="210"/>
      <c r="B9" s="216">
        <v>1</v>
      </c>
      <c r="C9" s="2141" t="s">
        <v>908</v>
      </c>
      <c r="D9" s="2142"/>
      <c r="E9" s="2142"/>
      <c r="F9" s="2142"/>
      <c r="G9" s="2143"/>
      <c r="H9" s="2061" t="str">
        <f>CONCATENATE("Last 2 Payslips - ",+Profile!AO5)</f>
        <v xml:space="preserve">Last 2 Payslips -  </v>
      </c>
      <c r="I9" s="2062"/>
      <c r="J9" s="2062"/>
      <c r="K9" s="2062"/>
      <c r="L9" s="2062"/>
      <c r="M9" s="2062"/>
      <c r="N9" s="2062"/>
      <c r="O9" s="2062"/>
      <c r="P9" s="2062"/>
      <c r="Q9" s="2062"/>
      <c r="R9" s="2062"/>
      <c r="S9" s="2062"/>
      <c r="T9" s="2062"/>
      <c r="U9" s="2062"/>
      <c r="V9" s="2062"/>
      <c r="W9" s="2062"/>
      <c r="X9" s="2062"/>
      <c r="Y9" s="2063"/>
      <c r="Z9" s="215"/>
      <c r="AA9" s="216"/>
      <c r="AB9" s="215"/>
      <c r="AC9" s="94"/>
      <c r="AE9" s="94"/>
      <c r="AF9" s="94"/>
      <c r="AG9" s="94"/>
      <c r="AH9" s="94"/>
      <c r="AI9" s="94"/>
      <c r="AJ9" s="94"/>
      <c r="AK9" s="94"/>
      <c r="AL9" s="94"/>
      <c r="AM9" s="94"/>
      <c r="AN9" s="94"/>
      <c r="AO9" s="94"/>
      <c r="AP9" s="94"/>
    </row>
    <row r="10" spans="1:64" s="129" customFormat="1" ht="18" customHeight="1" x14ac:dyDescent="0.25">
      <c r="A10" s="210"/>
      <c r="B10" s="216"/>
      <c r="C10" s="2141" t="s">
        <v>908</v>
      </c>
      <c r="D10" s="2142"/>
      <c r="E10" s="2142"/>
      <c r="F10" s="2142"/>
      <c r="G10" s="2143"/>
      <c r="H10" s="2061" t="str">
        <f>CONCATENATE("Bonus Confirmation 2 years - ",+Profile!AJ5)</f>
        <v xml:space="preserve">Bonus Confirmation 2 years -  </v>
      </c>
      <c r="I10" s="2062"/>
      <c r="J10" s="2062"/>
      <c r="K10" s="2062"/>
      <c r="L10" s="2062"/>
      <c r="M10" s="2062"/>
      <c r="N10" s="2062"/>
      <c r="O10" s="2062"/>
      <c r="P10" s="2062"/>
      <c r="Q10" s="2062"/>
      <c r="R10" s="2062"/>
      <c r="S10" s="2062"/>
      <c r="T10" s="2062"/>
      <c r="U10" s="2062"/>
      <c r="V10" s="2062"/>
      <c r="W10" s="2062"/>
      <c r="X10" s="2062"/>
      <c r="Y10" s="2063"/>
      <c r="Z10" s="215"/>
      <c r="AA10" s="216"/>
      <c r="AB10" s="215"/>
      <c r="AC10" s="94"/>
      <c r="AE10" s="94"/>
      <c r="AF10" s="94"/>
      <c r="AG10" s="94"/>
      <c r="AH10" s="94"/>
      <c r="AI10" s="94"/>
      <c r="AJ10" s="94"/>
      <c r="AK10" s="94"/>
      <c r="AL10" s="94"/>
      <c r="AM10" s="94"/>
      <c r="AN10" s="94"/>
      <c r="AO10" s="94"/>
      <c r="AP10" s="94"/>
    </row>
    <row r="11" spans="1:64" s="129" customFormat="1" ht="18" customHeight="1" x14ac:dyDescent="0.25">
      <c r="A11" s="210"/>
      <c r="B11" s="216"/>
      <c r="C11" s="2141" t="s">
        <v>908</v>
      </c>
      <c r="D11" s="2142"/>
      <c r="E11" s="2142"/>
      <c r="F11" s="2142"/>
      <c r="G11" s="2143"/>
      <c r="H11" s="2061" t="str">
        <f>CONCATENATE("Employment Contract - ",+Profile!AO5)</f>
        <v xml:space="preserve">Employment Contract -  </v>
      </c>
      <c r="I11" s="2062"/>
      <c r="J11" s="2062"/>
      <c r="K11" s="2062"/>
      <c r="L11" s="2062"/>
      <c r="M11" s="2062"/>
      <c r="N11" s="2062"/>
      <c r="O11" s="2062"/>
      <c r="P11" s="2062"/>
      <c r="Q11" s="2062"/>
      <c r="R11" s="2062"/>
      <c r="S11" s="2062"/>
      <c r="T11" s="2062"/>
      <c r="U11" s="2062"/>
      <c r="V11" s="2062"/>
      <c r="W11" s="2062"/>
      <c r="X11" s="2062"/>
      <c r="Y11" s="2063"/>
      <c r="Z11" s="215"/>
      <c r="AA11" s="216"/>
      <c r="AB11" s="215"/>
      <c r="AC11" s="94"/>
      <c r="AE11" s="94"/>
      <c r="AF11" s="94"/>
      <c r="AG11" s="94"/>
      <c r="AH11" s="94"/>
      <c r="AI11" s="94"/>
      <c r="AJ11" s="94"/>
      <c r="AK11" s="94"/>
      <c r="AL11" s="94"/>
      <c r="AM11" s="94"/>
      <c r="AN11" s="94"/>
      <c r="AO11" s="94"/>
      <c r="AP11" s="94"/>
    </row>
    <row r="12" spans="1:64" s="129" customFormat="1" ht="18" customHeight="1" x14ac:dyDescent="0.25">
      <c r="A12" s="210"/>
      <c r="B12" s="216">
        <v>1</v>
      </c>
      <c r="C12" s="2141" t="s">
        <v>908</v>
      </c>
      <c r="D12" s="2142"/>
      <c r="E12" s="2142"/>
      <c r="F12" s="2142"/>
      <c r="G12" s="2143"/>
      <c r="H12" s="2061" t="str">
        <f>CONCATENATE("Last 2 years Tax Returns + ATO Assessments - ",+Profile!AJ5)</f>
        <v xml:space="preserve">Last 2 years Tax Returns + ATO Assessments -  </v>
      </c>
      <c r="I12" s="2062"/>
      <c r="J12" s="2062"/>
      <c r="K12" s="2062"/>
      <c r="L12" s="2062"/>
      <c r="M12" s="2062"/>
      <c r="N12" s="2062"/>
      <c r="O12" s="2062"/>
      <c r="P12" s="2062"/>
      <c r="Q12" s="2062"/>
      <c r="R12" s="2062"/>
      <c r="S12" s="2062"/>
      <c r="T12" s="2062"/>
      <c r="U12" s="2062"/>
      <c r="V12" s="2062"/>
      <c r="W12" s="2062"/>
      <c r="X12" s="2062"/>
      <c r="Y12" s="2063"/>
      <c r="Z12" s="215"/>
      <c r="AA12" s="216"/>
      <c r="AB12" s="215"/>
      <c r="AC12" s="94"/>
      <c r="AD12" s="94"/>
      <c r="AE12" s="94"/>
      <c r="AF12" s="94"/>
      <c r="AG12" s="94"/>
      <c r="AH12" s="94"/>
      <c r="AI12" s="94"/>
      <c r="AJ12" s="94"/>
      <c r="AK12" s="94"/>
      <c r="AL12" s="94"/>
      <c r="AM12" s="94"/>
      <c r="AN12" s="94"/>
      <c r="AO12" s="94"/>
      <c r="AP12" s="94"/>
    </row>
    <row r="13" spans="1:64" s="129" customFormat="1" ht="18" customHeight="1" x14ac:dyDescent="0.25">
      <c r="A13" s="210"/>
      <c r="B13" s="216">
        <v>1</v>
      </c>
      <c r="C13" s="2141" t="s">
        <v>908</v>
      </c>
      <c r="D13" s="2142"/>
      <c r="E13" s="2142"/>
      <c r="F13" s="2142"/>
      <c r="G13" s="2143"/>
      <c r="H13" s="2061" t="str">
        <f>CONCATENATE("Last 2 years Tax Returns + ATO Assessments - ",+Profile!AO5)</f>
        <v xml:space="preserve">Last 2 years Tax Returns + ATO Assessments -  </v>
      </c>
      <c r="I13" s="2062"/>
      <c r="J13" s="2062"/>
      <c r="K13" s="2062"/>
      <c r="L13" s="2062"/>
      <c r="M13" s="2062"/>
      <c r="N13" s="2062"/>
      <c r="O13" s="2062"/>
      <c r="P13" s="2062"/>
      <c r="Q13" s="2062"/>
      <c r="R13" s="2062"/>
      <c r="S13" s="2062"/>
      <c r="T13" s="2062"/>
      <c r="U13" s="2062"/>
      <c r="V13" s="2062"/>
      <c r="W13" s="2062"/>
      <c r="X13" s="2062"/>
      <c r="Y13" s="2063"/>
      <c r="Z13" s="215"/>
      <c r="AA13" s="216"/>
      <c r="AB13" s="215"/>
      <c r="AC13" s="94"/>
      <c r="AD13" s="94"/>
      <c r="AE13" s="94"/>
      <c r="AF13" s="94"/>
      <c r="AG13" s="94"/>
      <c r="AH13" s="94"/>
      <c r="AI13" s="94"/>
      <c r="AJ13" s="94"/>
      <c r="AK13" s="94"/>
      <c r="AL13" s="94"/>
      <c r="AM13" s="94"/>
      <c r="AN13" s="94"/>
      <c r="AO13" s="94"/>
      <c r="AP13" s="94"/>
    </row>
    <row r="14" spans="1:64" s="129" customFormat="1" ht="18" customHeight="1" x14ac:dyDescent="0.25">
      <c r="A14" s="210"/>
      <c r="B14" s="216"/>
      <c r="C14" s="2141" t="s">
        <v>908</v>
      </c>
      <c r="D14" s="2142"/>
      <c r="E14" s="2142"/>
      <c r="F14" s="2142"/>
      <c r="G14" s="2143"/>
      <c r="H14" s="2061" t="str">
        <f>CONCATENATE("Statements showing Salary Credits - ",+Profile!AJ5)</f>
        <v xml:space="preserve">Statements showing Salary Credits -  </v>
      </c>
      <c r="I14" s="2062"/>
      <c r="J14" s="2062"/>
      <c r="K14" s="2062"/>
      <c r="L14" s="2062"/>
      <c r="M14" s="2062"/>
      <c r="N14" s="2062"/>
      <c r="O14" s="2062"/>
      <c r="P14" s="2062"/>
      <c r="Q14" s="2062"/>
      <c r="R14" s="2062"/>
      <c r="S14" s="2062"/>
      <c r="T14" s="2062"/>
      <c r="U14" s="2062"/>
      <c r="V14" s="2062"/>
      <c r="W14" s="2062"/>
      <c r="X14" s="2062"/>
      <c r="Y14" s="2063"/>
      <c r="Z14" s="215"/>
      <c r="AA14" s="216"/>
      <c r="AB14" s="215"/>
      <c r="AC14" s="94"/>
      <c r="AD14" s="94"/>
      <c r="AE14" s="94"/>
      <c r="AF14" s="94"/>
      <c r="AG14" s="94"/>
      <c r="AH14" s="94"/>
      <c r="AI14" s="94"/>
      <c r="AJ14" s="94"/>
      <c r="AK14" s="94"/>
      <c r="AL14" s="94"/>
      <c r="AM14" s="94"/>
      <c r="AN14" s="94"/>
      <c r="AO14" s="94"/>
      <c r="AP14" s="94"/>
    </row>
    <row r="15" spans="1:64" s="129" customFormat="1" ht="18" customHeight="1" x14ac:dyDescent="0.25">
      <c r="A15" s="210"/>
      <c r="B15" s="216"/>
      <c r="C15" s="2141" t="s">
        <v>908</v>
      </c>
      <c r="D15" s="2142"/>
      <c r="E15" s="2142"/>
      <c r="F15" s="2142"/>
      <c r="G15" s="2143"/>
      <c r="H15" s="2061" t="str">
        <f>CONCATENATE("Statements showing Salary Credits - ",+Profile!AO5)</f>
        <v xml:space="preserve">Statements showing Salary Credits -  </v>
      </c>
      <c r="I15" s="2062"/>
      <c r="J15" s="2062"/>
      <c r="K15" s="2062"/>
      <c r="L15" s="2062"/>
      <c r="M15" s="2062"/>
      <c r="N15" s="2062"/>
      <c r="O15" s="2062"/>
      <c r="P15" s="2062"/>
      <c r="Q15" s="2062"/>
      <c r="R15" s="2062"/>
      <c r="S15" s="2062"/>
      <c r="T15" s="2062"/>
      <c r="U15" s="2062"/>
      <c r="V15" s="2062"/>
      <c r="W15" s="2062"/>
      <c r="X15" s="2062"/>
      <c r="Y15" s="2063"/>
      <c r="Z15" s="215"/>
      <c r="AA15" s="216"/>
      <c r="AB15" s="215"/>
      <c r="AC15" s="94"/>
      <c r="AD15" s="94"/>
      <c r="AE15" s="94"/>
      <c r="AF15" s="94"/>
      <c r="AG15" s="94"/>
      <c r="AH15" s="94"/>
      <c r="AI15" s="94"/>
      <c r="AJ15" s="94"/>
      <c r="AK15" s="94"/>
      <c r="AL15" s="94"/>
      <c r="AM15" s="94"/>
      <c r="AN15" s="94"/>
      <c r="AO15" s="94"/>
      <c r="AP15" s="94"/>
    </row>
    <row r="16" spans="1:64" s="129" customFormat="1" ht="18" customHeight="1" x14ac:dyDescent="0.25">
      <c r="A16" s="210"/>
      <c r="B16" s="216"/>
      <c r="C16" s="2141" t="s">
        <v>911</v>
      </c>
      <c r="D16" s="2142"/>
      <c r="E16" s="2142"/>
      <c r="F16" s="2142"/>
      <c r="G16" s="2143"/>
      <c r="H16" s="2061"/>
      <c r="I16" s="2062"/>
      <c r="J16" s="2062"/>
      <c r="K16" s="2062"/>
      <c r="L16" s="2062"/>
      <c r="M16" s="2062"/>
      <c r="N16" s="2062"/>
      <c r="O16" s="2062"/>
      <c r="P16" s="2062"/>
      <c r="Q16" s="2062"/>
      <c r="R16" s="2062"/>
      <c r="S16" s="2062"/>
      <c r="T16" s="2062"/>
      <c r="U16" s="2062"/>
      <c r="V16" s="2062"/>
      <c r="W16" s="2062"/>
      <c r="X16" s="2062"/>
      <c r="Y16" s="2063"/>
      <c r="Z16" s="215"/>
      <c r="AA16" s="216"/>
      <c r="AB16" s="215"/>
      <c r="AC16" s="94"/>
      <c r="AD16" s="94"/>
      <c r="AE16" s="94"/>
      <c r="AF16" s="94"/>
      <c r="AG16" s="94"/>
      <c r="AH16" s="94"/>
      <c r="AI16" s="94"/>
      <c r="AJ16" s="94"/>
      <c r="AK16" s="94"/>
      <c r="AL16" s="94"/>
      <c r="AM16" s="94"/>
      <c r="AN16" s="94"/>
      <c r="AO16" s="94"/>
      <c r="AP16" s="94"/>
    </row>
    <row r="17" spans="1:64" s="129" customFormat="1" ht="18" customHeight="1" x14ac:dyDescent="0.25">
      <c r="A17" s="210"/>
      <c r="B17" s="216"/>
      <c r="C17" s="2141" t="s">
        <v>911</v>
      </c>
      <c r="D17" s="2142"/>
      <c r="E17" s="2142"/>
      <c r="F17" s="2142"/>
      <c r="G17" s="2143"/>
      <c r="H17" s="2061"/>
      <c r="I17" s="2062"/>
      <c r="J17" s="2062"/>
      <c r="K17" s="2062"/>
      <c r="L17" s="2062"/>
      <c r="M17" s="2062"/>
      <c r="N17" s="2062"/>
      <c r="O17" s="2062"/>
      <c r="P17" s="2062"/>
      <c r="Q17" s="2062"/>
      <c r="R17" s="2062"/>
      <c r="S17" s="2062"/>
      <c r="T17" s="2062"/>
      <c r="U17" s="2062"/>
      <c r="V17" s="2062"/>
      <c r="W17" s="2062"/>
      <c r="X17" s="2062"/>
      <c r="Y17" s="2063"/>
      <c r="Z17" s="215"/>
      <c r="AA17" s="216"/>
      <c r="AB17" s="215"/>
      <c r="AC17" s="94"/>
      <c r="AD17" s="94"/>
      <c r="AE17" s="94"/>
      <c r="AF17" s="94"/>
      <c r="AG17" s="94"/>
      <c r="AH17" s="94"/>
      <c r="AI17" s="94"/>
      <c r="AJ17" s="94"/>
      <c r="AK17" s="94"/>
      <c r="AL17" s="94"/>
      <c r="AM17" s="94"/>
      <c r="AN17" s="94"/>
      <c r="AO17" s="94"/>
      <c r="AP17" s="94"/>
    </row>
    <row r="18" spans="1:64" s="129" customFormat="1" ht="18" customHeight="1" x14ac:dyDescent="0.25">
      <c r="A18" s="210"/>
      <c r="B18" s="216"/>
      <c r="C18" s="2141" t="s">
        <v>911</v>
      </c>
      <c r="D18" s="2142"/>
      <c r="E18" s="2142"/>
      <c r="F18" s="2142"/>
      <c r="G18" s="2143"/>
      <c r="H18" s="2061"/>
      <c r="I18" s="2062"/>
      <c r="J18" s="2062"/>
      <c r="K18" s="2062"/>
      <c r="L18" s="2062"/>
      <c r="M18" s="2062"/>
      <c r="N18" s="2062"/>
      <c r="O18" s="2062"/>
      <c r="P18" s="2062"/>
      <c r="Q18" s="2062"/>
      <c r="R18" s="2062"/>
      <c r="S18" s="2062"/>
      <c r="T18" s="2062"/>
      <c r="U18" s="2062"/>
      <c r="V18" s="2062"/>
      <c r="W18" s="2062"/>
      <c r="X18" s="2062"/>
      <c r="Y18" s="2063"/>
      <c r="Z18" s="215"/>
      <c r="AA18" s="216"/>
      <c r="AB18" s="215"/>
      <c r="AC18" s="94"/>
      <c r="AD18" s="94"/>
      <c r="AE18" s="94"/>
      <c r="AF18" s="94"/>
      <c r="AG18" s="94"/>
      <c r="AH18" s="94"/>
      <c r="AI18" s="94"/>
      <c r="AJ18" s="94"/>
      <c r="AK18" s="94"/>
      <c r="AL18" s="94"/>
      <c r="AM18" s="94"/>
      <c r="AN18" s="94"/>
      <c r="AO18" s="94"/>
      <c r="AP18" s="94"/>
    </row>
    <row r="19" spans="1:64" s="129" customFormat="1" ht="18" customHeight="1" x14ac:dyDescent="0.25">
      <c r="A19" s="210"/>
      <c r="B19" s="216">
        <v>1</v>
      </c>
      <c r="C19" s="2141" t="s">
        <v>909</v>
      </c>
      <c r="D19" s="2142"/>
      <c r="E19" s="2142"/>
      <c r="F19" s="2142"/>
      <c r="G19" s="2143"/>
      <c r="H19" s="2061" t="str">
        <f>CONCATENATE("2015 Profit Loss &amp; Balance Sheet - ",SelfEmp!I3)</f>
        <v xml:space="preserve">2015 Profit Loss &amp; Balance Sheet - </v>
      </c>
      <c r="I19" s="2062"/>
      <c r="J19" s="2062"/>
      <c r="K19" s="2062"/>
      <c r="L19" s="2062"/>
      <c r="M19" s="2062"/>
      <c r="N19" s="2062"/>
      <c r="O19" s="2062"/>
      <c r="P19" s="2062"/>
      <c r="Q19" s="2062"/>
      <c r="R19" s="2062"/>
      <c r="S19" s="2062"/>
      <c r="T19" s="2062"/>
      <c r="U19" s="2062"/>
      <c r="V19" s="2062"/>
      <c r="W19" s="2062"/>
      <c r="X19" s="2062"/>
      <c r="Y19" s="2063"/>
      <c r="Z19" s="215"/>
      <c r="AA19" s="216"/>
      <c r="AB19" s="215"/>
      <c r="AC19" s="94"/>
      <c r="AD19" s="94"/>
      <c r="AE19" s="94"/>
      <c r="AF19" s="94"/>
      <c r="AG19" s="94"/>
      <c r="AH19" s="94"/>
      <c r="AI19" s="94"/>
      <c r="AJ19" s="94"/>
      <c r="AK19" s="94"/>
      <c r="AL19" s="94"/>
      <c r="AM19" s="94"/>
      <c r="AN19" s="94"/>
      <c r="AO19" s="94"/>
      <c r="AP19" s="94"/>
    </row>
    <row r="20" spans="1:64" s="129" customFormat="1" ht="18" customHeight="1" x14ac:dyDescent="0.25">
      <c r="A20" s="210"/>
      <c r="B20" s="216">
        <v>1</v>
      </c>
      <c r="C20" s="2141" t="s">
        <v>909</v>
      </c>
      <c r="D20" s="2142"/>
      <c r="E20" s="2142"/>
      <c r="F20" s="2142"/>
      <c r="G20" s="2143"/>
      <c r="H20" s="2061" t="str">
        <f>CONCATENATE("2016 Profit Loss &amp; Balance Sheet - ",SelfEmp!I3)</f>
        <v xml:space="preserve">2016 Profit Loss &amp; Balance Sheet - </v>
      </c>
      <c r="I20" s="2062"/>
      <c r="J20" s="2062"/>
      <c r="K20" s="2062"/>
      <c r="L20" s="2062"/>
      <c r="M20" s="2062"/>
      <c r="N20" s="2062"/>
      <c r="O20" s="2062"/>
      <c r="P20" s="2062"/>
      <c r="Q20" s="2062"/>
      <c r="R20" s="2062"/>
      <c r="S20" s="2062"/>
      <c r="T20" s="2062"/>
      <c r="U20" s="2062"/>
      <c r="V20" s="2062"/>
      <c r="W20" s="2062"/>
      <c r="X20" s="2062"/>
      <c r="Y20" s="2063"/>
      <c r="Z20" s="215"/>
      <c r="AA20" s="216"/>
      <c r="AB20" s="215"/>
      <c r="AC20" s="94"/>
      <c r="AD20" s="94"/>
      <c r="AE20" s="94"/>
      <c r="AF20" s="94"/>
      <c r="AG20" s="94"/>
      <c r="AH20" s="94"/>
      <c r="AI20" s="94"/>
      <c r="AJ20" s="94"/>
      <c r="AK20" s="94"/>
      <c r="AL20" s="94"/>
      <c r="AM20" s="94"/>
      <c r="AN20" s="94"/>
      <c r="AO20" s="94"/>
      <c r="AP20" s="94"/>
    </row>
    <row r="21" spans="1:64" s="129" customFormat="1" ht="18" customHeight="1" x14ac:dyDescent="0.25">
      <c r="A21" s="210"/>
      <c r="B21" s="216">
        <v>1</v>
      </c>
      <c r="C21" s="2141" t="s">
        <v>909</v>
      </c>
      <c r="D21" s="2142"/>
      <c r="E21" s="2142"/>
      <c r="F21" s="2142"/>
      <c r="G21" s="2143"/>
      <c r="H21" s="2061" t="str">
        <f>CONCATENATE("2015 Business Tax Return - ",SelfEmp!I3)</f>
        <v xml:space="preserve">2015 Business Tax Return - </v>
      </c>
      <c r="I21" s="2062"/>
      <c r="J21" s="2062"/>
      <c r="K21" s="2062"/>
      <c r="L21" s="2062"/>
      <c r="M21" s="2062"/>
      <c r="N21" s="2062"/>
      <c r="O21" s="2062"/>
      <c r="P21" s="2062"/>
      <c r="Q21" s="2062"/>
      <c r="R21" s="2062"/>
      <c r="S21" s="2062"/>
      <c r="T21" s="2062"/>
      <c r="U21" s="2062"/>
      <c r="V21" s="2062"/>
      <c r="W21" s="2062"/>
      <c r="X21" s="2062"/>
      <c r="Y21" s="2063"/>
      <c r="Z21" s="215"/>
      <c r="AA21" s="216"/>
      <c r="AB21" s="215"/>
      <c r="AC21" s="94"/>
      <c r="AD21" s="94"/>
      <c r="AE21" s="94"/>
      <c r="AF21" s="94"/>
      <c r="AG21" s="94"/>
      <c r="AH21" s="94"/>
      <c r="AI21" s="94"/>
      <c r="AJ21" s="94"/>
      <c r="AK21" s="94"/>
      <c r="AL21" s="94"/>
      <c r="AM21" s="94"/>
      <c r="AN21" s="94"/>
      <c r="AO21" s="94"/>
      <c r="AP21" s="94"/>
    </row>
    <row r="22" spans="1:64" s="129" customFormat="1" ht="18" customHeight="1" x14ac:dyDescent="0.25">
      <c r="A22" s="210"/>
      <c r="B22" s="216"/>
      <c r="C22" s="2141" t="s">
        <v>909</v>
      </c>
      <c r="D22" s="2142"/>
      <c r="E22" s="2142"/>
      <c r="F22" s="2142"/>
      <c r="G22" s="2143"/>
      <c r="H22" s="2061" t="str">
        <f>CONCATENATE("Letter from Accountant - ",SelfEmp!I4)</f>
        <v xml:space="preserve">Letter from Accountant - </v>
      </c>
      <c r="I22" s="2062"/>
      <c r="J22" s="2062"/>
      <c r="K22" s="2062"/>
      <c r="L22" s="2062"/>
      <c r="M22" s="2062"/>
      <c r="N22" s="2062"/>
      <c r="O22" s="2062"/>
      <c r="P22" s="2062"/>
      <c r="Q22" s="2062"/>
      <c r="R22" s="2062"/>
      <c r="S22" s="2062"/>
      <c r="T22" s="2062"/>
      <c r="U22" s="2062"/>
      <c r="V22" s="2062"/>
      <c r="W22" s="2062"/>
      <c r="X22" s="2062"/>
      <c r="Y22" s="2063"/>
      <c r="Z22" s="215"/>
      <c r="AA22" s="216"/>
      <c r="AB22" s="215"/>
      <c r="AC22" s="94"/>
      <c r="AD22" s="94"/>
      <c r="AE22" s="94"/>
      <c r="AF22" s="94"/>
      <c r="AG22" s="94"/>
      <c r="AH22" s="94"/>
      <c r="AI22" s="94"/>
      <c r="AJ22" s="94"/>
      <c r="AK22" s="94"/>
      <c r="AL22" s="94"/>
      <c r="AM22" s="94"/>
      <c r="AN22" s="94"/>
      <c r="AO22" s="94"/>
      <c r="AP22" s="94"/>
    </row>
    <row r="23" spans="1:64" s="129" customFormat="1" ht="18" customHeight="1" x14ac:dyDescent="0.25">
      <c r="A23" s="210"/>
      <c r="B23" s="216"/>
      <c r="C23" s="2141" t="s">
        <v>909</v>
      </c>
      <c r="D23" s="2142"/>
      <c r="E23" s="2142"/>
      <c r="F23" s="2142"/>
      <c r="G23" s="2143"/>
      <c r="H23" s="2061" t="str">
        <f>CONCATENATE("Last 4 BAS/GST Statements - ",SelfEmp!I3)</f>
        <v xml:space="preserve">Last 4 BAS/GST Statements - </v>
      </c>
      <c r="I23" s="2062"/>
      <c r="J23" s="2062"/>
      <c r="K23" s="2062"/>
      <c r="L23" s="2062"/>
      <c r="M23" s="2062"/>
      <c r="N23" s="2062"/>
      <c r="O23" s="2062"/>
      <c r="P23" s="2062"/>
      <c r="Q23" s="2062"/>
      <c r="R23" s="2062"/>
      <c r="S23" s="2062"/>
      <c r="T23" s="2062"/>
      <c r="U23" s="2062"/>
      <c r="V23" s="2062"/>
      <c r="W23" s="2062"/>
      <c r="X23" s="2062"/>
      <c r="Y23" s="2063"/>
      <c r="Z23" s="215"/>
      <c r="AA23" s="216"/>
      <c r="AB23" s="215"/>
      <c r="AC23" s="94"/>
      <c r="AD23" s="94"/>
      <c r="AE23" s="94"/>
      <c r="AF23" s="94"/>
      <c r="AG23" s="94"/>
      <c r="AH23" s="94"/>
      <c r="AI23" s="94"/>
      <c r="AJ23" s="94"/>
      <c r="AK23" s="94"/>
      <c r="AL23" s="94"/>
      <c r="AM23" s="94"/>
      <c r="AN23" s="94"/>
      <c r="AO23" s="94"/>
      <c r="AP23" s="94"/>
    </row>
    <row r="24" spans="1:64" s="129" customFormat="1" ht="18" customHeight="1" x14ac:dyDescent="0.25">
      <c r="A24" s="210"/>
      <c r="B24" s="216"/>
      <c r="C24" s="2141" t="s">
        <v>910</v>
      </c>
      <c r="D24" s="2142"/>
      <c r="E24" s="2142"/>
      <c r="F24" s="2142"/>
      <c r="G24" s="2143"/>
      <c r="H24" s="2061" t="str">
        <f>CONCATENATE("Real Estate Statement - ",Funding!A8)</f>
        <v xml:space="preserve">Real Estate Statement - </v>
      </c>
      <c r="I24" s="2062"/>
      <c r="J24" s="2062"/>
      <c r="K24" s="2062"/>
      <c r="L24" s="2062"/>
      <c r="M24" s="2062"/>
      <c r="N24" s="2062"/>
      <c r="O24" s="2062"/>
      <c r="P24" s="2062"/>
      <c r="Q24" s="2062"/>
      <c r="R24" s="2062"/>
      <c r="S24" s="2062"/>
      <c r="T24" s="2062"/>
      <c r="U24" s="2062"/>
      <c r="V24" s="2062"/>
      <c r="W24" s="2062"/>
      <c r="X24" s="2062"/>
      <c r="Y24" s="2063"/>
      <c r="Z24" s="215"/>
      <c r="AA24" s="216"/>
      <c r="AB24" s="215"/>
      <c r="AC24" s="94"/>
      <c r="AD24" s="94"/>
      <c r="AE24" s="94"/>
      <c r="AF24" s="94"/>
      <c r="AG24" s="94"/>
      <c r="AH24" s="94"/>
      <c r="AI24" s="94"/>
      <c r="AJ24" s="94"/>
      <c r="AK24" s="94"/>
      <c r="AL24" s="94"/>
      <c r="AM24" s="94"/>
      <c r="AN24" s="94"/>
      <c r="AO24" s="94"/>
      <c r="AP24" s="94"/>
    </row>
    <row r="25" spans="1:64" s="123" customFormat="1" ht="18" customHeight="1" x14ac:dyDescent="0.25">
      <c r="A25" s="210"/>
      <c r="B25" s="216"/>
      <c r="C25" s="2141" t="s">
        <v>910</v>
      </c>
      <c r="D25" s="2142"/>
      <c r="E25" s="2142"/>
      <c r="F25" s="2142"/>
      <c r="G25" s="2143"/>
      <c r="H25" s="2061" t="str">
        <f>CONCATENATE("Real Estate Assessment - ",'A&amp;L'!E8)</f>
        <v xml:space="preserve">Real Estate Assessment - </v>
      </c>
      <c r="I25" s="2062"/>
      <c r="J25" s="2062"/>
      <c r="K25" s="2062"/>
      <c r="L25" s="2062"/>
      <c r="M25" s="2062"/>
      <c r="N25" s="2062"/>
      <c r="O25" s="2062"/>
      <c r="P25" s="2062"/>
      <c r="Q25" s="2062"/>
      <c r="R25" s="2062"/>
      <c r="S25" s="2062"/>
      <c r="T25" s="2062"/>
      <c r="U25" s="2062"/>
      <c r="V25" s="2062"/>
      <c r="W25" s="2062"/>
      <c r="X25" s="2062"/>
      <c r="Y25" s="2063"/>
      <c r="Z25" s="215"/>
      <c r="AA25" s="216"/>
      <c r="AB25" s="215"/>
      <c r="AC25" s="94"/>
      <c r="AD25" s="94"/>
      <c r="AE25" s="94"/>
      <c r="AF25" s="94"/>
      <c r="AG25" s="94"/>
      <c r="AH25" s="94"/>
      <c r="AI25" s="94"/>
      <c r="AJ25" s="94"/>
      <c r="AK25" s="94"/>
      <c r="AL25" s="94"/>
      <c r="AM25" s="94"/>
      <c r="AN25" s="94"/>
      <c r="AO25" s="94"/>
      <c r="AP25" s="94"/>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s="123" customFormat="1" ht="18" customHeight="1" x14ac:dyDescent="0.25">
      <c r="A26" s="210"/>
      <c r="B26" s="216"/>
      <c r="C26" s="2141" t="s">
        <v>910</v>
      </c>
      <c r="D26" s="2142"/>
      <c r="E26" s="2142"/>
      <c r="F26" s="2142"/>
      <c r="G26" s="2143"/>
      <c r="H26" s="2061" t="str">
        <f>CONCATENATE("Real Estate Assessment - ",'A&amp;L'!E9)</f>
        <v xml:space="preserve">Real Estate Assessment - </v>
      </c>
      <c r="I26" s="2062"/>
      <c r="J26" s="2062"/>
      <c r="K26" s="2062"/>
      <c r="L26" s="2062"/>
      <c r="M26" s="2062"/>
      <c r="N26" s="2062"/>
      <c r="O26" s="2062"/>
      <c r="P26" s="2062"/>
      <c r="Q26" s="2062"/>
      <c r="R26" s="2062"/>
      <c r="S26" s="2062"/>
      <c r="T26" s="2062"/>
      <c r="U26" s="2062"/>
      <c r="V26" s="2062"/>
      <c r="W26" s="2062"/>
      <c r="X26" s="2062"/>
      <c r="Y26" s="2063"/>
      <c r="Z26" s="215"/>
      <c r="AA26" s="216"/>
      <c r="AB26" s="215"/>
      <c r="AC26" s="94"/>
      <c r="AD26" s="94"/>
      <c r="AE26" s="94"/>
      <c r="AF26" s="94"/>
      <c r="AG26" s="94"/>
      <c r="AH26" s="94"/>
      <c r="AI26" s="94"/>
      <c r="AJ26" s="94"/>
      <c r="AK26" s="94"/>
      <c r="AL26" s="94"/>
      <c r="AM26" s="94"/>
      <c r="AN26" s="94"/>
      <c r="AO26" s="94"/>
      <c r="AP26" s="94"/>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s="123" customFormat="1" ht="18" customHeight="1" x14ac:dyDescent="0.25">
      <c r="A27" s="210"/>
      <c r="B27" s="216"/>
      <c r="C27" s="2141" t="s">
        <v>910</v>
      </c>
      <c r="D27" s="2142"/>
      <c r="E27" s="2142"/>
      <c r="F27" s="2142"/>
      <c r="G27" s="2143"/>
      <c r="H27" s="2061" t="str">
        <f>CONCATENATE("Real Estate Assessment - ",'A&amp;L'!E10)</f>
        <v xml:space="preserve">Real Estate Assessment - </v>
      </c>
      <c r="I27" s="2062"/>
      <c r="J27" s="2062"/>
      <c r="K27" s="2062"/>
      <c r="L27" s="2062"/>
      <c r="M27" s="2062"/>
      <c r="N27" s="2062"/>
      <c r="O27" s="2062"/>
      <c r="P27" s="2062"/>
      <c r="Q27" s="2062"/>
      <c r="R27" s="2062"/>
      <c r="S27" s="2062"/>
      <c r="T27" s="2062"/>
      <c r="U27" s="2062"/>
      <c r="V27" s="2062"/>
      <c r="W27" s="2062"/>
      <c r="X27" s="2062"/>
      <c r="Y27" s="2063"/>
      <c r="Z27" s="215"/>
      <c r="AA27" s="216"/>
      <c r="AB27" s="215"/>
      <c r="AC27" s="94"/>
      <c r="AD27" s="94"/>
      <c r="AE27" s="94"/>
      <c r="AF27" s="94"/>
      <c r="AG27" s="94"/>
      <c r="AH27" s="94"/>
      <c r="AI27" s="94"/>
      <c r="AJ27" s="94"/>
      <c r="AK27" s="94"/>
      <c r="AL27" s="94"/>
      <c r="AM27" s="94"/>
      <c r="AN27" s="94"/>
      <c r="AO27" s="94"/>
      <c r="AP27" s="94"/>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s="123" customFormat="1" ht="18" customHeight="1" x14ac:dyDescent="0.25">
      <c r="A28" s="210"/>
      <c r="B28" s="216"/>
      <c r="C28" s="2141" t="s">
        <v>910</v>
      </c>
      <c r="D28" s="2142"/>
      <c r="E28" s="2142"/>
      <c r="F28" s="2142"/>
      <c r="G28" s="2143"/>
      <c r="H28" s="2061" t="str">
        <f>CONCATENATE("Real Estate Assessment - ",'A&amp;L'!E11)</f>
        <v xml:space="preserve">Real Estate Assessment - </v>
      </c>
      <c r="I28" s="2062"/>
      <c r="J28" s="2062"/>
      <c r="K28" s="2062"/>
      <c r="L28" s="2062"/>
      <c r="M28" s="2062"/>
      <c r="N28" s="2062"/>
      <c r="O28" s="2062"/>
      <c r="P28" s="2062"/>
      <c r="Q28" s="2062"/>
      <c r="R28" s="2062"/>
      <c r="S28" s="2062"/>
      <c r="T28" s="2062"/>
      <c r="U28" s="2062"/>
      <c r="V28" s="2062"/>
      <c r="W28" s="2062"/>
      <c r="X28" s="2062"/>
      <c r="Y28" s="2063"/>
      <c r="Z28" s="215"/>
      <c r="AA28" s="216"/>
      <c r="AB28" s="215"/>
      <c r="AC28" s="94"/>
      <c r="AD28" s="94"/>
      <c r="AE28" s="94"/>
      <c r="AF28" s="94"/>
      <c r="AG28" s="94"/>
      <c r="AH28" s="94"/>
      <c r="AI28" s="94"/>
      <c r="AJ28" s="94"/>
      <c r="AK28" s="94"/>
      <c r="AL28" s="94"/>
      <c r="AM28" s="94"/>
      <c r="AN28" s="94"/>
      <c r="AO28" s="94"/>
      <c r="AP28" s="94"/>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s="123" customFormat="1" ht="18" customHeight="1" x14ac:dyDescent="0.25">
      <c r="A29" s="210"/>
      <c r="B29" s="216"/>
      <c r="C29" s="2141" t="s">
        <v>920</v>
      </c>
      <c r="D29" s="2142"/>
      <c r="E29" s="2142"/>
      <c r="F29" s="2142"/>
      <c r="G29" s="2143"/>
      <c r="H29" s="2061" t="s">
        <v>954</v>
      </c>
      <c r="I29" s="2062"/>
      <c r="J29" s="2062"/>
      <c r="K29" s="2062"/>
      <c r="L29" s="2062"/>
      <c r="M29" s="2062"/>
      <c r="N29" s="2062"/>
      <c r="O29" s="2062"/>
      <c r="P29" s="2062"/>
      <c r="Q29" s="2062"/>
      <c r="R29" s="2062"/>
      <c r="S29" s="2062"/>
      <c r="T29" s="2062"/>
      <c r="U29" s="2062"/>
      <c r="V29" s="2062"/>
      <c r="W29" s="2062"/>
      <c r="X29" s="2062"/>
      <c r="Y29" s="2063"/>
      <c r="Z29" s="215"/>
      <c r="AA29" s="216"/>
      <c r="AB29" s="215"/>
      <c r="AC29" s="94"/>
      <c r="AD29" s="94"/>
      <c r="AE29" s="94"/>
      <c r="AF29" s="94"/>
      <c r="AG29" s="94"/>
      <c r="AH29" s="94"/>
      <c r="AI29" s="94"/>
      <c r="AJ29" s="94"/>
      <c r="AK29" s="94"/>
      <c r="AL29" s="94"/>
      <c r="AM29" s="94"/>
      <c r="AN29" s="94"/>
      <c r="AO29" s="94"/>
      <c r="AP29" s="94"/>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s="123" customFormat="1" ht="18" customHeight="1" x14ac:dyDescent="0.25">
      <c r="A30" s="210"/>
      <c r="B30" s="216"/>
      <c r="C30" s="2141" t="s">
        <v>920</v>
      </c>
      <c r="D30" s="2142"/>
      <c r="E30" s="2142"/>
      <c r="F30" s="2142"/>
      <c r="G30" s="2143"/>
      <c r="H30" s="2061" t="str">
        <f>CONCATENATE("Savings Account - $",'A&amp;L'!N19)</f>
        <v>Savings Account - $</v>
      </c>
      <c r="I30" s="2062"/>
      <c r="J30" s="2062"/>
      <c r="K30" s="2062"/>
      <c r="L30" s="2062"/>
      <c r="M30" s="2062"/>
      <c r="N30" s="2062"/>
      <c r="O30" s="2062"/>
      <c r="P30" s="2062"/>
      <c r="Q30" s="2062"/>
      <c r="R30" s="2062"/>
      <c r="S30" s="2062"/>
      <c r="T30" s="2062"/>
      <c r="U30" s="2062"/>
      <c r="V30" s="2062"/>
      <c r="W30" s="2062"/>
      <c r="X30" s="2062"/>
      <c r="Y30" s="2063"/>
      <c r="Z30" s="215"/>
      <c r="AA30" s="216"/>
      <c r="AB30" s="215"/>
      <c r="AC30" s="94"/>
      <c r="AD30" s="94"/>
      <c r="AE30" s="94"/>
      <c r="AF30" s="94"/>
      <c r="AG30" s="94"/>
      <c r="AH30" s="94"/>
      <c r="AI30" s="94"/>
      <c r="AJ30" s="94"/>
      <c r="AK30" s="94"/>
      <c r="AL30" s="94"/>
      <c r="AM30" s="94"/>
      <c r="AN30" s="94"/>
      <c r="AO30" s="94"/>
      <c r="AP30" s="94"/>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s="123" customFormat="1" ht="18" customHeight="1" x14ac:dyDescent="0.25">
      <c r="A31" s="210"/>
      <c r="B31" s="216"/>
      <c r="C31" s="2141" t="s">
        <v>920</v>
      </c>
      <c r="D31" s="2142"/>
      <c r="E31" s="2142"/>
      <c r="F31" s="2142"/>
      <c r="G31" s="2143"/>
      <c r="H31" s="2061" t="str">
        <f>CONCATENATE("Savings Account - $",'A&amp;L'!N20)</f>
        <v>Savings Account - $</v>
      </c>
      <c r="I31" s="2062"/>
      <c r="J31" s="2062"/>
      <c r="K31" s="2062"/>
      <c r="L31" s="2062"/>
      <c r="M31" s="2062"/>
      <c r="N31" s="2062"/>
      <c r="O31" s="2062"/>
      <c r="P31" s="2062"/>
      <c r="Q31" s="2062"/>
      <c r="R31" s="2062"/>
      <c r="S31" s="2062"/>
      <c r="T31" s="2062"/>
      <c r="U31" s="2062"/>
      <c r="V31" s="2062"/>
      <c r="W31" s="2062"/>
      <c r="X31" s="2062"/>
      <c r="Y31" s="2063"/>
      <c r="Z31" s="215"/>
      <c r="AA31" s="216"/>
      <c r="AB31" s="215"/>
      <c r="AC31" s="94"/>
      <c r="AD31" s="94"/>
      <c r="AE31" s="94"/>
      <c r="AF31" s="94"/>
      <c r="AG31" s="94"/>
      <c r="AH31" s="94"/>
      <c r="AI31" s="94"/>
      <c r="AJ31" s="94"/>
      <c r="AK31" s="94"/>
      <c r="AL31" s="94"/>
      <c r="AM31" s="94"/>
      <c r="AN31" s="94"/>
      <c r="AO31" s="94"/>
      <c r="AP31" s="94"/>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s="123" customFormat="1" ht="18" customHeight="1" x14ac:dyDescent="0.25">
      <c r="A32" s="210"/>
      <c r="B32" s="216"/>
      <c r="C32" s="2141" t="s">
        <v>920</v>
      </c>
      <c r="D32" s="2142"/>
      <c r="E32" s="2142"/>
      <c r="F32" s="2142"/>
      <c r="G32" s="2143"/>
      <c r="H32" s="2061" t="str">
        <f>CONCATENATE("Savings Account - $",'A&amp;L'!N21)</f>
        <v>Savings Account - $</v>
      </c>
      <c r="I32" s="2062"/>
      <c r="J32" s="2062"/>
      <c r="K32" s="2062"/>
      <c r="L32" s="2062"/>
      <c r="M32" s="2062"/>
      <c r="N32" s="2062"/>
      <c r="O32" s="2062"/>
      <c r="P32" s="2062"/>
      <c r="Q32" s="2062"/>
      <c r="R32" s="2062"/>
      <c r="S32" s="2062"/>
      <c r="T32" s="2062"/>
      <c r="U32" s="2062"/>
      <c r="V32" s="2062"/>
      <c r="W32" s="2062"/>
      <c r="X32" s="2062"/>
      <c r="Y32" s="2063"/>
      <c r="Z32" s="215"/>
      <c r="AA32" s="216"/>
      <c r="AB32" s="215"/>
      <c r="AC32" s="94"/>
      <c r="AD32" s="94"/>
      <c r="AE32" s="94"/>
      <c r="AF32" s="94"/>
      <c r="AG32" s="94"/>
      <c r="AH32" s="94"/>
      <c r="AI32" s="94"/>
      <c r="AJ32" s="94"/>
      <c r="AK32" s="94"/>
      <c r="AL32" s="94"/>
      <c r="AM32" s="94"/>
      <c r="AN32" s="94"/>
      <c r="AO32" s="94"/>
      <c r="AP32" s="94"/>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s="123" customFormat="1" ht="18" customHeight="1" x14ac:dyDescent="0.25">
      <c r="A33" s="210"/>
      <c r="B33" s="216"/>
      <c r="C33" s="2141" t="s">
        <v>920</v>
      </c>
      <c r="D33" s="2142"/>
      <c r="E33" s="2142"/>
      <c r="F33" s="2142"/>
      <c r="G33" s="2143"/>
      <c r="H33" s="2061" t="str">
        <f>CONCATENATE("Proof of Genuine Savings - 3mths")</f>
        <v>Proof of Genuine Savings - 3mths</v>
      </c>
      <c r="I33" s="2062"/>
      <c r="J33" s="2062"/>
      <c r="K33" s="2062"/>
      <c r="L33" s="2062"/>
      <c r="M33" s="2062"/>
      <c r="N33" s="2062"/>
      <c r="O33" s="2062"/>
      <c r="P33" s="2062"/>
      <c r="Q33" s="2062"/>
      <c r="R33" s="2062"/>
      <c r="S33" s="2062"/>
      <c r="T33" s="2062"/>
      <c r="U33" s="2062"/>
      <c r="V33" s="2062"/>
      <c r="W33" s="2062"/>
      <c r="X33" s="2062"/>
      <c r="Y33" s="2063"/>
      <c r="Z33" s="215"/>
      <c r="AA33" s="216"/>
      <c r="AB33" s="215"/>
      <c r="AC33" s="94"/>
      <c r="AD33" s="94"/>
      <c r="AE33" s="94"/>
      <c r="AF33" s="94"/>
      <c r="AG33" s="94"/>
      <c r="AH33" s="94"/>
      <c r="AI33" s="94"/>
      <c r="AJ33" s="94"/>
      <c r="AK33" s="94"/>
      <c r="AL33" s="94"/>
      <c r="AM33" s="94"/>
      <c r="AN33" s="94"/>
      <c r="AO33" s="94"/>
      <c r="AP33" s="94"/>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s="123" customFormat="1" ht="18" customHeight="1" x14ac:dyDescent="0.25">
      <c r="A34" s="210"/>
      <c r="B34" s="216"/>
      <c r="C34" s="2141" t="s">
        <v>920</v>
      </c>
      <c r="D34" s="2142"/>
      <c r="E34" s="2142"/>
      <c r="F34" s="2142"/>
      <c r="G34" s="2143"/>
      <c r="H34" s="2061" t="s">
        <v>935</v>
      </c>
      <c r="I34" s="2062"/>
      <c r="J34" s="2062"/>
      <c r="K34" s="2062"/>
      <c r="L34" s="2062"/>
      <c r="M34" s="2062"/>
      <c r="N34" s="2062"/>
      <c r="O34" s="2062"/>
      <c r="P34" s="2062"/>
      <c r="Q34" s="2062"/>
      <c r="R34" s="2062"/>
      <c r="S34" s="2062"/>
      <c r="T34" s="2062"/>
      <c r="U34" s="2062"/>
      <c r="V34" s="2062"/>
      <c r="W34" s="2062"/>
      <c r="X34" s="2062"/>
      <c r="Y34" s="2063"/>
      <c r="Z34" s="215"/>
      <c r="AA34" s="216"/>
      <c r="AB34" s="215"/>
      <c r="AC34" s="94"/>
      <c r="AD34" s="94"/>
      <c r="AE34" s="94"/>
      <c r="AF34" s="94"/>
      <c r="AG34" s="94"/>
      <c r="AH34" s="94"/>
      <c r="AI34" s="94"/>
      <c r="AJ34" s="94"/>
      <c r="AK34" s="94"/>
      <c r="AL34" s="94"/>
      <c r="AM34" s="94"/>
      <c r="AN34" s="94"/>
      <c r="AO34" s="94"/>
      <c r="AP34" s="94"/>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s="123" customFormat="1" ht="18" customHeight="1" x14ac:dyDescent="0.25">
      <c r="A35" s="210"/>
      <c r="B35" s="216"/>
      <c r="C35" s="2141" t="s">
        <v>921</v>
      </c>
      <c r="D35" s="2142"/>
      <c r="E35" s="2142"/>
      <c r="F35" s="2142"/>
      <c r="G35" s="2143"/>
      <c r="H35" s="2061" t="str">
        <f>CONCATENATE("Proof of Deposit - ",'A&amp;L'!N23)</f>
        <v xml:space="preserve">Proof of Deposit - </v>
      </c>
      <c r="I35" s="2062"/>
      <c r="J35" s="2062"/>
      <c r="K35" s="2062"/>
      <c r="L35" s="2062"/>
      <c r="M35" s="2062"/>
      <c r="N35" s="2062"/>
      <c r="O35" s="2062"/>
      <c r="P35" s="2062"/>
      <c r="Q35" s="2062"/>
      <c r="R35" s="2062"/>
      <c r="S35" s="2062"/>
      <c r="T35" s="2062"/>
      <c r="U35" s="2062"/>
      <c r="V35" s="2062"/>
      <c r="W35" s="2062"/>
      <c r="X35" s="2062"/>
      <c r="Y35" s="2063"/>
      <c r="Z35" s="215"/>
      <c r="AA35" s="216"/>
      <c r="AB35" s="215"/>
      <c r="AC35" s="94"/>
      <c r="AD35" s="94"/>
      <c r="AE35" s="94"/>
      <c r="AF35" s="94"/>
      <c r="AG35" s="94"/>
      <c r="AH35" s="94"/>
      <c r="AI35" s="94"/>
      <c r="AJ35" s="94"/>
      <c r="AK35" s="94"/>
      <c r="AL35" s="94"/>
      <c r="AM35" s="94"/>
      <c r="AN35" s="94"/>
      <c r="AO35" s="94"/>
      <c r="AP35" s="94"/>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s="123" customFormat="1" ht="18" customHeight="1" x14ac:dyDescent="0.25">
      <c r="A36" s="210"/>
      <c r="B36" s="216"/>
      <c r="C36" s="2141" t="s">
        <v>922</v>
      </c>
      <c r="D36" s="2142"/>
      <c r="E36" s="2142"/>
      <c r="F36" s="2142"/>
      <c r="G36" s="2143"/>
      <c r="H36" s="2061" t="str">
        <f>CONCATENATE("Contract of Sale - ",Funding!A8)</f>
        <v xml:space="preserve">Contract of Sale - </v>
      </c>
      <c r="I36" s="2062"/>
      <c r="J36" s="2062"/>
      <c r="K36" s="2062"/>
      <c r="L36" s="2062"/>
      <c r="M36" s="2062"/>
      <c r="N36" s="2062"/>
      <c r="O36" s="2062"/>
      <c r="P36" s="2062"/>
      <c r="Q36" s="2062"/>
      <c r="R36" s="2062"/>
      <c r="S36" s="2062"/>
      <c r="T36" s="2062"/>
      <c r="U36" s="2062"/>
      <c r="V36" s="2062"/>
      <c r="W36" s="2062"/>
      <c r="X36" s="2062"/>
      <c r="Y36" s="2063"/>
      <c r="Z36" s="215"/>
      <c r="AA36" s="216"/>
      <c r="AB36" s="215"/>
      <c r="AC36" s="94"/>
      <c r="AD36" s="94"/>
      <c r="AE36" s="94"/>
      <c r="AF36" s="94"/>
      <c r="AG36" s="94"/>
      <c r="AH36" s="94"/>
      <c r="AI36" s="94"/>
      <c r="AJ36" s="94"/>
      <c r="AK36" s="94"/>
      <c r="AL36" s="94"/>
      <c r="AM36" s="94"/>
      <c r="AN36" s="94"/>
      <c r="AO36" s="94"/>
      <c r="AP36" s="94"/>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s="123" customFormat="1" ht="18" customHeight="1" x14ac:dyDescent="0.25">
      <c r="A37" s="210"/>
      <c r="B37" s="216"/>
      <c r="C37" s="2141" t="s">
        <v>922</v>
      </c>
      <c r="D37" s="2142"/>
      <c r="E37" s="2142"/>
      <c r="F37" s="2142"/>
      <c r="G37" s="2143"/>
      <c r="H37" s="2061" t="str">
        <f>CONCATENATE("Sales Advice - ",Funding!A8)</f>
        <v xml:space="preserve">Sales Advice - </v>
      </c>
      <c r="I37" s="2062"/>
      <c r="J37" s="2062"/>
      <c r="K37" s="2062"/>
      <c r="L37" s="2062"/>
      <c r="M37" s="2062"/>
      <c r="N37" s="2062"/>
      <c r="O37" s="2062"/>
      <c r="P37" s="2062"/>
      <c r="Q37" s="2062"/>
      <c r="R37" s="2062"/>
      <c r="S37" s="2062"/>
      <c r="T37" s="2062"/>
      <c r="U37" s="2062"/>
      <c r="V37" s="2062"/>
      <c r="W37" s="2062"/>
      <c r="X37" s="2062"/>
      <c r="Y37" s="2063"/>
      <c r="Z37" s="215"/>
      <c r="AA37" s="216"/>
      <c r="AB37" s="215"/>
      <c r="AC37" s="94"/>
      <c r="AD37" s="94"/>
      <c r="AE37" s="94"/>
      <c r="AF37" s="94"/>
      <c r="AG37" s="94"/>
      <c r="AH37" s="94"/>
      <c r="AI37" s="94"/>
      <c r="AJ37" s="94"/>
      <c r="AK37" s="94"/>
      <c r="AL37" s="94"/>
      <c r="AM37" s="94"/>
      <c r="AN37" s="94"/>
      <c r="AO37" s="94"/>
      <c r="AP37" s="94"/>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s="123" customFormat="1" ht="18" customHeight="1" x14ac:dyDescent="0.25">
      <c r="A38" s="210"/>
      <c r="B38" s="216"/>
      <c r="C38" s="2141" t="s">
        <v>922</v>
      </c>
      <c r="D38" s="2142"/>
      <c r="E38" s="2142"/>
      <c r="F38" s="2142"/>
      <c r="G38" s="2143"/>
      <c r="H38" s="2061" t="str">
        <f>CONCATENATE("Rates Notice - ",Address!G4)</f>
        <v xml:space="preserve">Rates Notice - </v>
      </c>
      <c r="I38" s="2062"/>
      <c r="J38" s="2062"/>
      <c r="K38" s="2062"/>
      <c r="L38" s="2062"/>
      <c r="M38" s="2062"/>
      <c r="N38" s="2062"/>
      <c r="O38" s="2062"/>
      <c r="P38" s="2062"/>
      <c r="Q38" s="2062"/>
      <c r="R38" s="2062"/>
      <c r="S38" s="2062"/>
      <c r="T38" s="2062"/>
      <c r="U38" s="2062"/>
      <c r="V38" s="2062"/>
      <c r="W38" s="2062"/>
      <c r="X38" s="2062"/>
      <c r="Y38" s="2063"/>
      <c r="Z38" s="215"/>
      <c r="AA38" s="216"/>
      <c r="AB38" s="215"/>
      <c r="AC38" s="94"/>
      <c r="AD38" s="94"/>
      <c r="AE38" s="94"/>
      <c r="AF38" s="94"/>
      <c r="AG38" s="94"/>
      <c r="AH38" s="94"/>
      <c r="AI38" s="94"/>
      <c r="AJ38" s="94"/>
      <c r="AK38" s="94"/>
      <c r="AL38" s="94"/>
      <c r="AM38" s="94"/>
      <c r="AN38" s="94"/>
      <c r="AO38" s="94"/>
      <c r="AP38" s="94"/>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s="123" customFormat="1" ht="18" customHeight="1" x14ac:dyDescent="0.25">
      <c r="A39" s="210"/>
      <c r="B39" s="216"/>
      <c r="C39" s="2141" t="s">
        <v>924</v>
      </c>
      <c r="D39" s="2142"/>
      <c r="E39" s="2142"/>
      <c r="F39" s="2142"/>
      <c r="G39" s="2143"/>
      <c r="H39" s="2061" t="str">
        <f>CONCATENATE("Fixed Price Contract - ",Address!G4)</f>
        <v xml:space="preserve">Fixed Price Contract - </v>
      </c>
      <c r="I39" s="2062"/>
      <c r="J39" s="2062"/>
      <c r="K39" s="2062"/>
      <c r="L39" s="2062"/>
      <c r="M39" s="2062"/>
      <c r="N39" s="2062"/>
      <c r="O39" s="2062"/>
      <c r="P39" s="2062"/>
      <c r="Q39" s="2062"/>
      <c r="R39" s="2062"/>
      <c r="S39" s="2062"/>
      <c r="T39" s="2062"/>
      <c r="U39" s="2062"/>
      <c r="V39" s="2062"/>
      <c r="W39" s="2062"/>
      <c r="X39" s="2062"/>
      <c r="Y39" s="2063"/>
      <c r="Z39" s="215"/>
      <c r="AA39" s="216"/>
      <c r="AB39" s="215"/>
      <c r="AC39" s="94"/>
      <c r="AD39" s="94"/>
      <c r="AE39" s="94"/>
      <c r="AF39" s="94"/>
      <c r="AG39" s="94"/>
      <c r="AH39" s="94"/>
      <c r="AI39" s="94"/>
      <c r="AJ39" s="94"/>
      <c r="AK39" s="94"/>
      <c r="AL39" s="94"/>
      <c r="AM39" s="94"/>
      <c r="AN39" s="94"/>
      <c r="AO39" s="94"/>
      <c r="AP39" s="94"/>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s="123" customFormat="1" ht="18" customHeight="1" x14ac:dyDescent="0.25">
      <c r="A40" s="210"/>
      <c r="B40" s="216"/>
      <c r="C40" s="2141" t="s">
        <v>924</v>
      </c>
      <c r="D40" s="2142"/>
      <c r="E40" s="2142"/>
      <c r="F40" s="2142"/>
      <c r="G40" s="2143"/>
      <c r="H40" s="2061" t="str">
        <f>CONCATENATE("Council Approval - ",Address!G4)</f>
        <v xml:space="preserve">Council Approval - </v>
      </c>
      <c r="I40" s="2062"/>
      <c r="J40" s="2062"/>
      <c r="K40" s="2062"/>
      <c r="L40" s="2062"/>
      <c r="M40" s="2062"/>
      <c r="N40" s="2062"/>
      <c r="O40" s="2062"/>
      <c r="P40" s="2062"/>
      <c r="Q40" s="2062"/>
      <c r="R40" s="2062"/>
      <c r="S40" s="2062"/>
      <c r="T40" s="2062"/>
      <c r="U40" s="2062"/>
      <c r="V40" s="2062"/>
      <c r="W40" s="2062"/>
      <c r="X40" s="2062"/>
      <c r="Y40" s="2063"/>
      <c r="Z40" s="215"/>
      <c r="AA40" s="216"/>
      <c r="AB40" s="215"/>
      <c r="AC40" s="94"/>
      <c r="AD40" s="94"/>
      <c r="AE40" s="94"/>
      <c r="AF40" s="94"/>
      <c r="AG40" s="94"/>
      <c r="AH40" s="94"/>
      <c r="AI40" s="94"/>
      <c r="AJ40" s="94"/>
      <c r="AK40" s="94"/>
      <c r="AL40" s="94"/>
      <c r="AM40" s="94"/>
      <c r="AN40" s="94"/>
      <c r="AO40" s="94"/>
      <c r="AP40" s="94"/>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s="123" customFormat="1" ht="18" customHeight="1" x14ac:dyDescent="0.25">
      <c r="A41" s="210"/>
      <c r="B41" s="216"/>
      <c r="C41" s="2141" t="s">
        <v>924</v>
      </c>
      <c r="D41" s="2142"/>
      <c r="E41" s="2142"/>
      <c r="F41" s="2142"/>
      <c r="G41" s="2143"/>
      <c r="H41" s="2061" t="str">
        <f>CONCATENATE("Building Insurances - ",Address!G4)</f>
        <v xml:space="preserve">Building Insurances - </v>
      </c>
      <c r="I41" s="2062"/>
      <c r="J41" s="2062"/>
      <c r="K41" s="2062"/>
      <c r="L41" s="2062"/>
      <c r="M41" s="2062"/>
      <c r="N41" s="2062"/>
      <c r="O41" s="2062"/>
      <c r="P41" s="2062"/>
      <c r="Q41" s="2062"/>
      <c r="R41" s="2062"/>
      <c r="S41" s="2062"/>
      <c r="T41" s="2062"/>
      <c r="U41" s="2062"/>
      <c r="V41" s="2062"/>
      <c r="W41" s="2062"/>
      <c r="X41" s="2062"/>
      <c r="Y41" s="2063"/>
      <c r="Z41" s="215"/>
      <c r="AA41" s="216"/>
      <c r="AB41" s="215"/>
      <c r="AC41" s="94"/>
      <c r="AD41" s="94"/>
      <c r="AE41" s="94"/>
      <c r="AF41" s="94"/>
      <c r="AG41" s="94"/>
      <c r="AH41" s="94"/>
      <c r="AI41" s="94"/>
      <c r="AJ41" s="94"/>
      <c r="AK41" s="94"/>
      <c r="AL41" s="94"/>
      <c r="AM41" s="94"/>
      <c r="AN41" s="94"/>
      <c r="AO41" s="94"/>
      <c r="AP41" s="94"/>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s="123" customFormat="1" ht="18" customHeight="1" x14ac:dyDescent="0.25">
      <c r="A42" s="210"/>
      <c r="B42" s="216"/>
      <c r="C42" s="2141" t="s">
        <v>924</v>
      </c>
      <c r="D42" s="2142"/>
      <c r="E42" s="2142"/>
      <c r="F42" s="2142"/>
      <c r="G42" s="2143"/>
      <c r="H42" s="2061" t="str">
        <f>CONCATENATE("Plans &amp; Specifications - ",Address!G4)</f>
        <v xml:space="preserve">Plans &amp; Specifications - </v>
      </c>
      <c r="I42" s="2062"/>
      <c r="J42" s="2062"/>
      <c r="K42" s="2062"/>
      <c r="L42" s="2062"/>
      <c r="M42" s="2062"/>
      <c r="N42" s="2062"/>
      <c r="O42" s="2062"/>
      <c r="P42" s="2062"/>
      <c r="Q42" s="2062"/>
      <c r="R42" s="2062"/>
      <c r="S42" s="2062"/>
      <c r="T42" s="2062"/>
      <c r="U42" s="2062"/>
      <c r="V42" s="2062"/>
      <c r="W42" s="2062"/>
      <c r="X42" s="2062"/>
      <c r="Y42" s="2063"/>
      <c r="Z42" s="215"/>
      <c r="AA42" s="216"/>
      <c r="AB42" s="215"/>
      <c r="AC42" s="94"/>
      <c r="AD42" s="94"/>
      <c r="AE42" s="94"/>
      <c r="AF42" s="94"/>
      <c r="AG42" s="94"/>
      <c r="AH42" s="94"/>
      <c r="AI42" s="94"/>
      <c r="AJ42" s="94"/>
      <c r="AK42" s="94"/>
      <c r="AL42" s="94"/>
      <c r="AM42" s="94"/>
      <c r="AN42" s="94"/>
      <c r="AO42" s="94"/>
      <c r="AP42" s="94"/>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s="123" customFormat="1" ht="18" customHeight="1" x14ac:dyDescent="0.25">
      <c r="A43" s="210"/>
      <c r="B43" s="216"/>
      <c r="C43" s="2141" t="s">
        <v>923</v>
      </c>
      <c r="D43" s="2142"/>
      <c r="E43" s="2142"/>
      <c r="F43" s="2142"/>
      <c r="G43" s="2143"/>
      <c r="H43" s="2061" t="s">
        <v>1412</v>
      </c>
      <c r="I43" s="2062"/>
      <c r="J43" s="2062"/>
      <c r="K43" s="2062"/>
      <c r="L43" s="2062"/>
      <c r="M43" s="2062"/>
      <c r="N43" s="2062"/>
      <c r="O43" s="2062"/>
      <c r="P43" s="2062"/>
      <c r="Q43" s="2062"/>
      <c r="R43" s="2062"/>
      <c r="S43" s="2062"/>
      <c r="T43" s="2062"/>
      <c r="U43" s="2062"/>
      <c r="V43" s="2062"/>
      <c r="W43" s="2062"/>
      <c r="X43" s="2062"/>
      <c r="Y43" s="2063"/>
      <c r="Z43" s="215"/>
      <c r="AA43" s="216"/>
      <c r="AB43" s="215"/>
      <c r="AC43" s="94"/>
      <c r="AD43" s="94"/>
      <c r="AE43" s="94"/>
      <c r="AF43" s="94"/>
      <c r="AG43" s="94"/>
      <c r="AH43" s="94"/>
      <c r="AI43" s="94"/>
      <c r="AJ43" s="94"/>
      <c r="AK43" s="94"/>
      <c r="AL43" s="94"/>
      <c r="AM43" s="94"/>
      <c r="AN43" s="94"/>
      <c r="AO43" s="94"/>
      <c r="AP43" s="94"/>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s="123" customFormat="1" ht="18" customHeight="1" x14ac:dyDescent="0.25">
      <c r="A44" s="210"/>
      <c r="B44" s="216"/>
      <c r="C44" s="2141" t="s">
        <v>926</v>
      </c>
      <c r="D44" s="2142"/>
      <c r="E44" s="2142"/>
      <c r="F44" s="2142"/>
      <c r="G44" s="2143"/>
      <c r="H44" s="2061" t="s">
        <v>927</v>
      </c>
      <c r="I44" s="2062"/>
      <c r="J44" s="2062"/>
      <c r="K44" s="2062"/>
      <c r="L44" s="2062"/>
      <c r="M44" s="2062"/>
      <c r="N44" s="2062"/>
      <c r="O44" s="2062"/>
      <c r="P44" s="2062"/>
      <c r="Q44" s="2062"/>
      <c r="R44" s="2062"/>
      <c r="S44" s="2062"/>
      <c r="T44" s="2062"/>
      <c r="U44" s="2062"/>
      <c r="V44" s="2062"/>
      <c r="W44" s="2062"/>
      <c r="X44" s="2062"/>
      <c r="Y44" s="2063"/>
      <c r="Z44" s="215"/>
      <c r="AA44" s="216"/>
      <c r="AB44" s="215"/>
      <c r="AC44" s="94"/>
      <c r="AD44" s="94"/>
      <c r="AE44" s="94"/>
      <c r="AF44" s="94"/>
      <c r="AG44" s="94"/>
      <c r="AH44" s="94"/>
      <c r="AI44" s="94"/>
      <c r="AJ44" s="94"/>
      <c r="AK44" s="94"/>
      <c r="AL44" s="94"/>
      <c r="AM44" s="94"/>
      <c r="AN44" s="94"/>
      <c r="AO44" s="94"/>
      <c r="AP44" s="94"/>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s="123" customFormat="1" ht="18" customHeight="1" x14ac:dyDescent="0.25">
      <c r="A45" s="210"/>
      <c r="B45" s="216"/>
      <c r="C45" s="2141" t="s">
        <v>953</v>
      </c>
      <c r="D45" s="2142"/>
      <c r="E45" s="2142"/>
      <c r="F45" s="2142"/>
      <c r="G45" s="2143"/>
      <c r="H45" s="2061" t="str">
        <f>CONCATENATE("Most recent CarLoan Statement - ",'A&amp;L'!P14," $",'A&amp;L'!R14/1000,"k")</f>
        <v>Most recent CarLoan Statement -  $0k</v>
      </c>
      <c r="I45" s="2062"/>
      <c r="J45" s="2062"/>
      <c r="K45" s="2062"/>
      <c r="L45" s="2062"/>
      <c r="M45" s="2062"/>
      <c r="N45" s="2062"/>
      <c r="O45" s="2062"/>
      <c r="P45" s="2062"/>
      <c r="Q45" s="2062"/>
      <c r="R45" s="2062"/>
      <c r="S45" s="2062"/>
      <c r="T45" s="2062"/>
      <c r="U45" s="2062"/>
      <c r="V45" s="2062"/>
      <c r="W45" s="2062"/>
      <c r="X45" s="2062"/>
      <c r="Y45" s="2063"/>
      <c r="Z45" s="215"/>
      <c r="AA45" s="216"/>
      <c r="AB45" s="215"/>
      <c r="AC45" s="94"/>
      <c r="AD45" s="94"/>
      <c r="AE45" s="94"/>
      <c r="AF45" s="94"/>
      <c r="AG45" s="94"/>
      <c r="AH45" s="94"/>
      <c r="AI45" s="94"/>
      <c r="AJ45" s="94"/>
      <c r="AK45" s="94"/>
      <c r="AL45" s="94"/>
      <c r="AM45" s="94"/>
      <c r="AN45" s="94"/>
      <c r="AO45" s="94"/>
      <c r="AP45" s="94"/>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s="123" customFormat="1" ht="18" customHeight="1" x14ac:dyDescent="0.25">
      <c r="A46" s="210"/>
      <c r="B46" s="216"/>
      <c r="C46" s="2141" t="s">
        <v>953</v>
      </c>
      <c r="D46" s="2142"/>
      <c r="E46" s="2142"/>
      <c r="F46" s="2142"/>
      <c r="G46" s="2143"/>
      <c r="H46" s="2061" t="str">
        <f>CONCATENATE("Most recent CarLoan Statement - ",'A&amp;L'!P15," $",'A&amp;L'!R15/1000,"k")</f>
        <v>Most recent CarLoan Statement -  $0k</v>
      </c>
      <c r="I46" s="2062"/>
      <c r="J46" s="2062"/>
      <c r="K46" s="2062"/>
      <c r="L46" s="2062"/>
      <c r="M46" s="2062"/>
      <c r="N46" s="2062"/>
      <c r="O46" s="2062"/>
      <c r="P46" s="2062"/>
      <c r="Q46" s="2062"/>
      <c r="R46" s="2062"/>
      <c r="S46" s="2062"/>
      <c r="T46" s="2062"/>
      <c r="U46" s="2062"/>
      <c r="V46" s="2062"/>
      <c r="W46" s="2062"/>
      <c r="X46" s="2062"/>
      <c r="Y46" s="2063"/>
      <c r="Z46" s="215"/>
      <c r="AA46" s="216"/>
      <c r="AB46" s="215"/>
      <c r="AC46" s="94"/>
      <c r="AD46" s="94"/>
      <c r="AE46" s="94"/>
      <c r="AF46" s="94"/>
      <c r="AG46" s="94"/>
      <c r="AH46" s="94"/>
      <c r="AI46" s="94"/>
      <c r="AJ46" s="94"/>
      <c r="AK46" s="94"/>
      <c r="AL46" s="94"/>
      <c r="AM46" s="94"/>
      <c r="AN46" s="94"/>
      <c r="AO46" s="94"/>
      <c r="AP46" s="94"/>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s="123" customFormat="1" ht="18" customHeight="1" x14ac:dyDescent="0.25">
      <c r="A47" s="210"/>
      <c r="B47" s="216"/>
      <c r="C47" s="2141" t="s">
        <v>953</v>
      </c>
      <c r="D47" s="2142"/>
      <c r="E47" s="2142"/>
      <c r="F47" s="2142"/>
      <c r="G47" s="2143"/>
      <c r="H47" s="2061" t="str">
        <f>CONCATENATE("Most recent CarLoan Statement - ",'A&amp;L'!P16," $",'A&amp;L'!R16/1000,"k")</f>
        <v>Most recent CarLoan Statement -  $0k</v>
      </c>
      <c r="I47" s="2062"/>
      <c r="J47" s="2062"/>
      <c r="K47" s="2062"/>
      <c r="L47" s="2062"/>
      <c r="M47" s="2062"/>
      <c r="N47" s="2062"/>
      <c r="O47" s="2062"/>
      <c r="P47" s="2062"/>
      <c r="Q47" s="2062"/>
      <c r="R47" s="2062"/>
      <c r="S47" s="2062"/>
      <c r="T47" s="2062"/>
      <c r="U47" s="2062"/>
      <c r="V47" s="2062"/>
      <c r="W47" s="2062"/>
      <c r="X47" s="2062"/>
      <c r="Y47" s="2063"/>
      <c r="Z47" s="215"/>
      <c r="AA47" s="216"/>
      <c r="AB47" s="215"/>
      <c r="AC47" s="94"/>
      <c r="AD47" s="94"/>
      <c r="AE47" s="94"/>
      <c r="AF47" s="94"/>
      <c r="AG47" s="94"/>
      <c r="AH47" s="94"/>
      <c r="AI47" s="94"/>
      <c r="AJ47" s="94"/>
      <c r="AK47" s="94"/>
      <c r="AL47" s="94"/>
      <c r="AM47" s="94"/>
      <c r="AN47" s="94"/>
      <c r="AO47" s="94"/>
      <c r="AP47" s="94"/>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s="123" customFormat="1" ht="18" customHeight="1" x14ac:dyDescent="0.25">
      <c r="A48" s="210"/>
      <c r="B48" s="216"/>
      <c r="C48" s="2141" t="s">
        <v>903</v>
      </c>
      <c r="D48" s="2142"/>
      <c r="E48" s="2142"/>
      <c r="F48" s="2142"/>
      <c r="G48" s="2143"/>
      <c r="H48" s="2061" t="str">
        <f>CONCATENATE("Most recent Home Loan Statement - ",'A&amp;L'!P7," $",'A&amp;L'!R7/1000,"k")</f>
        <v>Most recent Home Loan Statement -  $0k</v>
      </c>
      <c r="I48" s="2062"/>
      <c r="J48" s="2062"/>
      <c r="K48" s="2062"/>
      <c r="L48" s="2062"/>
      <c r="M48" s="2062"/>
      <c r="N48" s="2062"/>
      <c r="O48" s="2062"/>
      <c r="P48" s="2062"/>
      <c r="Q48" s="2062"/>
      <c r="R48" s="2062"/>
      <c r="S48" s="2062"/>
      <c r="T48" s="2062"/>
      <c r="U48" s="2062"/>
      <c r="V48" s="2062"/>
      <c r="W48" s="2062"/>
      <c r="X48" s="2062"/>
      <c r="Y48" s="2063"/>
      <c r="Z48" s="215"/>
      <c r="AA48" s="216"/>
      <c r="AB48" s="215"/>
      <c r="AC48" s="94"/>
      <c r="AD48" s="94"/>
      <c r="AE48" s="94"/>
      <c r="AF48" s="94"/>
      <c r="AG48" s="94"/>
      <c r="AH48" s="94"/>
      <c r="AI48" s="94"/>
      <c r="AJ48" s="94"/>
      <c r="AK48" s="94"/>
      <c r="AL48" s="94"/>
      <c r="AM48" s="94"/>
      <c r="AN48" s="94"/>
      <c r="AO48" s="94"/>
      <c r="AP48" s="94"/>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s="123" customFormat="1" ht="18" customHeight="1" x14ac:dyDescent="0.25">
      <c r="A49" s="210"/>
      <c r="B49" s="216"/>
      <c r="C49" s="2141" t="s">
        <v>903</v>
      </c>
      <c r="D49" s="2142"/>
      <c r="E49" s="2142"/>
      <c r="F49" s="2142"/>
      <c r="G49" s="2143"/>
      <c r="H49" s="2061" t="str">
        <f>CONCATENATE("Most recent Home Loan Statement - ",'A&amp;L'!P8," $",'A&amp;L'!R8/1000,"k")</f>
        <v>Most recent Home Loan Statement -  $0k</v>
      </c>
      <c r="I49" s="2062"/>
      <c r="J49" s="2062"/>
      <c r="K49" s="2062"/>
      <c r="L49" s="2062"/>
      <c r="M49" s="2062"/>
      <c r="N49" s="2062"/>
      <c r="O49" s="2062"/>
      <c r="P49" s="2062"/>
      <c r="Q49" s="2062"/>
      <c r="R49" s="2062"/>
      <c r="S49" s="2062"/>
      <c r="T49" s="2062"/>
      <c r="U49" s="2062"/>
      <c r="V49" s="2062"/>
      <c r="W49" s="2062"/>
      <c r="X49" s="2062"/>
      <c r="Y49" s="2063"/>
      <c r="Z49" s="215"/>
      <c r="AA49" s="216"/>
      <c r="AB49" s="215"/>
      <c r="AC49" s="94"/>
      <c r="AD49" s="94"/>
      <c r="AE49" s="94"/>
      <c r="AF49" s="94"/>
      <c r="AG49" s="94"/>
      <c r="AH49" s="94"/>
      <c r="AI49" s="94"/>
      <c r="AJ49" s="94"/>
      <c r="AK49" s="94"/>
      <c r="AL49" s="94"/>
      <c r="AM49" s="94"/>
      <c r="AN49" s="94"/>
      <c r="AO49" s="94"/>
      <c r="AP49" s="94"/>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s="123" customFormat="1" ht="18" customHeight="1" x14ac:dyDescent="0.25">
      <c r="A50" s="210"/>
      <c r="B50" s="216"/>
      <c r="C50" s="2141" t="s">
        <v>903</v>
      </c>
      <c r="D50" s="2142"/>
      <c r="E50" s="2142"/>
      <c r="F50" s="2142"/>
      <c r="G50" s="2143"/>
      <c r="H50" s="2061" t="str">
        <f>CONCATENATE("Most recent Home Loan Statement - ",'A&amp;L'!P9," $",'A&amp;L'!R9/1000,"k")</f>
        <v>Most recent Home Loan Statement -  $0k</v>
      </c>
      <c r="I50" s="2062"/>
      <c r="J50" s="2062"/>
      <c r="K50" s="2062"/>
      <c r="L50" s="2062"/>
      <c r="M50" s="2062"/>
      <c r="N50" s="2062"/>
      <c r="O50" s="2062"/>
      <c r="P50" s="2062"/>
      <c r="Q50" s="2062"/>
      <c r="R50" s="2062"/>
      <c r="S50" s="2062"/>
      <c r="T50" s="2062"/>
      <c r="U50" s="2062"/>
      <c r="V50" s="2062"/>
      <c r="W50" s="2062"/>
      <c r="X50" s="2062"/>
      <c r="Y50" s="2063"/>
      <c r="Z50" s="215"/>
      <c r="AA50" s="216"/>
      <c r="AB50" s="215"/>
      <c r="AC50" s="94"/>
      <c r="AD50" s="94"/>
      <c r="AE50" s="94"/>
      <c r="AF50" s="94"/>
      <c r="AG50" s="94"/>
      <c r="AH50" s="94"/>
      <c r="AI50" s="94"/>
      <c r="AJ50" s="94"/>
      <c r="AK50" s="94"/>
      <c r="AL50" s="94"/>
      <c r="AM50" s="94"/>
      <c r="AN50" s="94"/>
      <c r="AO50" s="94"/>
      <c r="AP50" s="94"/>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s="123" customFormat="1" ht="18" customHeight="1" x14ac:dyDescent="0.25">
      <c r="A51" s="210"/>
      <c r="B51" s="216"/>
      <c r="C51" s="2141" t="s">
        <v>903</v>
      </c>
      <c r="D51" s="2142"/>
      <c r="E51" s="2142"/>
      <c r="F51" s="2142"/>
      <c r="G51" s="2143"/>
      <c r="H51" s="2061" t="str">
        <f>CONCATENATE("Most recent Home Loan Statement - ",'A&amp;L'!P10," $",'A&amp;L'!R10/1000,"k")</f>
        <v>Most recent Home Loan Statement -  $0k</v>
      </c>
      <c r="I51" s="2062"/>
      <c r="J51" s="2062"/>
      <c r="K51" s="2062"/>
      <c r="L51" s="2062"/>
      <c r="M51" s="2062"/>
      <c r="N51" s="2062"/>
      <c r="O51" s="2062"/>
      <c r="P51" s="2062"/>
      <c r="Q51" s="2062"/>
      <c r="R51" s="2062"/>
      <c r="S51" s="2062"/>
      <c r="T51" s="2062"/>
      <c r="U51" s="2062"/>
      <c r="V51" s="2062"/>
      <c r="W51" s="2062"/>
      <c r="X51" s="2062"/>
      <c r="Y51" s="2063"/>
      <c r="Z51" s="215"/>
      <c r="AA51" s="216"/>
      <c r="AB51" s="215"/>
      <c r="AC51" s="94"/>
      <c r="AD51" s="94"/>
      <c r="AE51" s="94"/>
      <c r="AF51" s="94"/>
      <c r="AG51" s="94"/>
      <c r="AH51" s="94"/>
      <c r="AI51" s="94"/>
      <c r="AJ51" s="94"/>
      <c r="AK51" s="94"/>
      <c r="AL51" s="94"/>
      <c r="AM51" s="94"/>
      <c r="AN51" s="94"/>
      <c r="AO51" s="94"/>
      <c r="AP51" s="94"/>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s="123" customFormat="1" ht="18" customHeight="1" x14ac:dyDescent="0.25">
      <c r="A52" s="210"/>
      <c r="B52" s="216"/>
      <c r="C52" s="2141" t="s">
        <v>1413</v>
      </c>
      <c r="D52" s="2142"/>
      <c r="E52" s="2142"/>
      <c r="F52" s="2142"/>
      <c r="G52" s="2143"/>
      <c r="H52" s="2061" t="str">
        <f>CONCATENATE("Most recent Margin Loan Statement - ",'A&amp;L'!P11," $",'A&amp;L'!R11/1000,"k")</f>
        <v>Most recent Margin Loan Statement -  $0k</v>
      </c>
      <c r="I52" s="2062"/>
      <c r="J52" s="2062"/>
      <c r="K52" s="2062"/>
      <c r="L52" s="2062"/>
      <c r="M52" s="2062"/>
      <c r="N52" s="2062"/>
      <c r="O52" s="2062"/>
      <c r="P52" s="2062"/>
      <c r="Q52" s="2062"/>
      <c r="R52" s="2062"/>
      <c r="S52" s="2062"/>
      <c r="T52" s="2062"/>
      <c r="U52" s="2062"/>
      <c r="V52" s="2062"/>
      <c r="W52" s="2062"/>
      <c r="X52" s="2062"/>
      <c r="Y52" s="2063"/>
      <c r="Z52" s="215"/>
      <c r="AA52" s="216"/>
      <c r="AB52" s="215"/>
      <c r="AC52" s="94"/>
      <c r="AD52" s="94"/>
      <c r="AE52" s="94"/>
      <c r="AF52" s="94"/>
      <c r="AG52" s="94"/>
      <c r="AH52" s="94"/>
      <c r="AI52" s="94"/>
      <c r="AJ52" s="94"/>
      <c r="AK52" s="94"/>
      <c r="AL52" s="94"/>
      <c r="AM52" s="94"/>
      <c r="AN52" s="94"/>
      <c r="AO52" s="94"/>
      <c r="AP52" s="94"/>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s="123" customFormat="1" ht="18" customHeight="1" x14ac:dyDescent="0.25">
      <c r="A53" s="210"/>
      <c r="B53" s="216"/>
      <c r="C53" s="2141" t="s">
        <v>906</v>
      </c>
      <c r="D53" s="2142"/>
      <c r="E53" s="2142"/>
      <c r="F53" s="2142"/>
      <c r="G53" s="2143"/>
      <c r="H53" s="2061" t="str">
        <f>CONCATENATE("Most recent Other Statement - ",'A&amp;L'!P34," $",'A&amp;L'!R34/1000,"k")</f>
        <v>Most recent Other Statement -  $0k</v>
      </c>
      <c r="I53" s="2062"/>
      <c r="J53" s="2062"/>
      <c r="K53" s="2062"/>
      <c r="L53" s="2062"/>
      <c r="M53" s="2062"/>
      <c r="N53" s="2062"/>
      <c r="O53" s="2062"/>
      <c r="P53" s="2062"/>
      <c r="Q53" s="2062"/>
      <c r="R53" s="2062"/>
      <c r="S53" s="2062"/>
      <c r="T53" s="2062"/>
      <c r="U53" s="2062"/>
      <c r="V53" s="2062"/>
      <c r="W53" s="2062"/>
      <c r="X53" s="2062"/>
      <c r="Y53" s="2063"/>
      <c r="Z53" s="215"/>
      <c r="AA53" s="216"/>
      <c r="AB53" s="215"/>
      <c r="AC53" s="94"/>
      <c r="AD53" s="94"/>
      <c r="AE53" s="94"/>
      <c r="AF53" s="94"/>
      <c r="AG53" s="94"/>
      <c r="AH53" s="94"/>
      <c r="AI53" s="94"/>
      <c r="AJ53" s="94"/>
      <c r="AK53" s="94"/>
      <c r="AL53" s="94"/>
      <c r="AM53" s="94"/>
      <c r="AN53" s="94"/>
      <c r="AO53" s="94"/>
      <c r="AP53" s="94"/>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s="123" customFormat="1" ht="18" customHeight="1" x14ac:dyDescent="0.25">
      <c r="A54" s="210"/>
      <c r="B54" s="216"/>
      <c r="C54" s="2141" t="s">
        <v>906</v>
      </c>
      <c r="D54" s="2142"/>
      <c r="E54" s="2142"/>
      <c r="F54" s="2142"/>
      <c r="G54" s="2143"/>
      <c r="H54" s="2061" t="str">
        <f>CONCATENATE("Most recent Other Statement - ",'A&amp;L'!P35," $",'A&amp;L'!R35/1000,"k")</f>
        <v>Most recent Other Statement -  $0k</v>
      </c>
      <c r="I54" s="2062"/>
      <c r="J54" s="2062"/>
      <c r="K54" s="2062"/>
      <c r="L54" s="2062"/>
      <c r="M54" s="2062"/>
      <c r="N54" s="2062"/>
      <c r="O54" s="2062"/>
      <c r="P54" s="2062"/>
      <c r="Q54" s="2062"/>
      <c r="R54" s="2062"/>
      <c r="S54" s="2062"/>
      <c r="T54" s="2062"/>
      <c r="U54" s="2062"/>
      <c r="V54" s="2062"/>
      <c r="W54" s="2062"/>
      <c r="X54" s="2062"/>
      <c r="Y54" s="2063"/>
      <c r="Z54" s="215"/>
      <c r="AA54" s="216"/>
      <c r="AB54" s="215"/>
      <c r="AC54" s="94"/>
      <c r="AD54" s="94"/>
      <c r="AE54" s="94"/>
      <c r="AF54" s="94"/>
      <c r="AG54" s="94"/>
      <c r="AH54" s="94"/>
      <c r="AI54" s="94"/>
      <c r="AJ54" s="94"/>
      <c r="AK54" s="94"/>
      <c r="AL54" s="94"/>
      <c r="AM54" s="94"/>
      <c r="AN54" s="94"/>
      <c r="AO54" s="94"/>
      <c r="AP54" s="94"/>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s="123" customFormat="1" ht="18" customHeight="1" x14ac:dyDescent="0.25">
      <c r="A55" s="210"/>
      <c r="B55" s="216">
        <v>1</v>
      </c>
      <c r="C55" s="2141" t="s">
        <v>912</v>
      </c>
      <c r="D55" s="2142"/>
      <c r="E55" s="2142"/>
      <c r="F55" s="2142"/>
      <c r="G55" s="2143"/>
      <c r="H55" s="2061" t="str">
        <f>CONCATENATE("Most recent Credit Card Statement - ",'A&amp;L'!P30," $",'A&amp;L'!R30/1000,"k Limit")</f>
        <v>Most recent Credit Card Statement -  $0k Limit</v>
      </c>
      <c r="I55" s="2062"/>
      <c r="J55" s="2062"/>
      <c r="K55" s="2062"/>
      <c r="L55" s="2062"/>
      <c r="M55" s="2062"/>
      <c r="N55" s="2062"/>
      <c r="O55" s="2062"/>
      <c r="P55" s="2062"/>
      <c r="Q55" s="2062"/>
      <c r="R55" s="2062"/>
      <c r="S55" s="2062"/>
      <c r="T55" s="2062"/>
      <c r="U55" s="2062"/>
      <c r="V55" s="2062"/>
      <c r="W55" s="2062"/>
      <c r="X55" s="2062"/>
      <c r="Y55" s="2063"/>
      <c r="Z55" s="215"/>
      <c r="AA55" s="216"/>
      <c r="AB55" s="215"/>
      <c r="AC55" s="94"/>
      <c r="AD55" s="94"/>
      <c r="AE55" s="94"/>
      <c r="AF55" s="94"/>
      <c r="AG55" s="94"/>
      <c r="AH55" s="94"/>
      <c r="AI55" s="94"/>
      <c r="AJ55" s="94"/>
      <c r="AK55" s="94"/>
      <c r="AL55" s="94"/>
      <c r="AM55" s="94"/>
      <c r="AN55" s="94"/>
      <c r="AO55" s="94"/>
      <c r="AP55" s="94"/>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64" s="123" customFormat="1" ht="18" customHeight="1" x14ac:dyDescent="0.25">
      <c r="A56" s="210"/>
      <c r="B56" s="216">
        <v>1</v>
      </c>
      <c r="C56" s="2141" t="s">
        <v>912</v>
      </c>
      <c r="D56" s="2142"/>
      <c r="E56" s="2142"/>
      <c r="F56" s="2142"/>
      <c r="G56" s="2143"/>
      <c r="H56" s="2061" t="str">
        <f>CONCATENATE("Most recent Credit Card Statement - ",'A&amp;L'!P31," $",'A&amp;L'!R31/1000,"k Limit")</f>
        <v>Most recent Credit Card Statement -  $0k Limit</v>
      </c>
      <c r="I56" s="2062"/>
      <c r="J56" s="2062"/>
      <c r="K56" s="2062"/>
      <c r="L56" s="2062"/>
      <c r="M56" s="2062"/>
      <c r="N56" s="2062"/>
      <c r="O56" s="2062"/>
      <c r="P56" s="2062"/>
      <c r="Q56" s="2062"/>
      <c r="R56" s="2062"/>
      <c r="S56" s="2062"/>
      <c r="T56" s="2062"/>
      <c r="U56" s="2062"/>
      <c r="V56" s="2062"/>
      <c r="W56" s="2062"/>
      <c r="X56" s="2062"/>
      <c r="Y56" s="2063"/>
      <c r="Z56" s="215"/>
      <c r="AA56" s="216"/>
      <c r="AB56" s="215"/>
      <c r="AC56" s="94"/>
      <c r="AD56" s="94"/>
      <c r="AE56" s="94"/>
      <c r="AF56" s="94"/>
      <c r="AG56" s="94"/>
      <c r="AH56" s="94"/>
      <c r="AI56" s="94"/>
      <c r="AJ56" s="94"/>
      <c r="AK56" s="94"/>
      <c r="AL56" s="94"/>
      <c r="AM56" s="94"/>
      <c r="AN56" s="94"/>
      <c r="AO56" s="94"/>
      <c r="AP56" s="94"/>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row>
    <row r="57" spans="1:64" s="123" customFormat="1" ht="18" customHeight="1" x14ac:dyDescent="0.25">
      <c r="A57" s="210"/>
      <c r="B57" s="216"/>
      <c r="C57" s="2141" t="s">
        <v>912</v>
      </c>
      <c r="D57" s="2142"/>
      <c r="E57" s="2142"/>
      <c r="F57" s="2142"/>
      <c r="G57" s="2143"/>
      <c r="H57" s="2061" t="str">
        <f>CONCATENATE("Most recent Credit Card Statement - ",'A&amp;L'!P32," $",'A&amp;L'!R32/1000,"k Limit")</f>
        <v>Most recent Credit Card Statement -  $0k Limit</v>
      </c>
      <c r="I57" s="2062"/>
      <c r="J57" s="2062"/>
      <c r="K57" s="2062"/>
      <c r="L57" s="2062"/>
      <c r="M57" s="2062"/>
      <c r="N57" s="2062"/>
      <c r="O57" s="2062"/>
      <c r="P57" s="2062"/>
      <c r="Q57" s="2062"/>
      <c r="R57" s="2062"/>
      <c r="S57" s="2062"/>
      <c r="T57" s="2062"/>
      <c r="U57" s="2062"/>
      <c r="V57" s="2062"/>
      <c r="W57" s="2062"/>
      <c r="X57" s="2062"/>
      <c r="Y57" s="2063"/>
      <c r="Z57" s="215"/>
      <c r="AA57" s="216"/>
      <c r="AB57" s="215"/>
      <c r="AC57" s="94"/>
      <c r="AD57" s="94"/>
      <c r="AE57" s="94"/>
      <c r="AF57" s="94"/>
      <c r="AG57" s="94"/>
      <c r="AH57" s="94"/>
      <c r="AI57" s="94"/>
      <c r="AJ57" s="94"/>
      <c r="AK57" s="94"/>
      <c r="AL57" s="94"/>
      <c r="AM57" s="94"/>
      <c r="AN57" s="94"/>
      <c r="AO57" s="94"/>
      <c r="AP57" s="94"/>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row>
    <row r="58" spans="1:64" s="123" customFormat="1" ht="18" customHeight="1" x14ac:dyDescent="0.25">
      <c r="A58" s="210"/>
      <c r="B58" s="216"/>
      <c r="C58" s="2141" t="s">
        <v>912</v>
      </c>
      <c r="D58" s="2142"/>
      <c r="E58" s="2142"/>
      <c r="F58" s="2142"/>
      <c r="G58" s="2143"/>
      <c r="H58" s="2061" t="str">
        <f>CONCATENATE("Most recent Credit Card Statement - ",'A&amp;L'!P33," $",'A&amp;L'!R33/1000,"k Limit")</f>
        <v>Most recent Credit Card Statement -  $0k Limit</v>
      </c>
      <c r="I58" s="2062"/>
      <c r="J58" s="2062"/>
      <c r="K58" s="2062"/>
      <c r="L58" s="2062"/>
      <c r="M58" s="2062"/>
      <c r="N58" s="2062"/>
      <c r="O58" s="2062"/>
      <c r="P58" s="2062"/>
      <c r="Q58" s="2062"/>
      <c r="R58" s="2062"/>
      <c r="S58" s="2062"/>
      <c r="T58" s="2062"/>
      <c r="U58" s="2062"/>
      <c r="V58" s="2062"/>
      <c r="W58" s="2062"/>
      <c r="X58" s="2062"/>
      <c r="Y58" s="2063"/>
      <c r="Z58" s="215"/>
      <c r="AA58" s="216"/>
      <c r="AB58" s="215"/>
      <c r="AC58" s="94"/>
      <c r="AD58" s="94"/>
      <c r="AE58" s="94"/>
      <c r="AF58" s="94"/>
      <c r="AG58" s="94"/>
      <c r="AH58" s="94"/>
      <c r="AI58" s="94"/>
      <c r="AJ58" s="94"/>
      <c r="AK58" s="94"/>
      <c r="AL58" s="94"/>
      <c r="AM58" s="94"/>
      <c r="AN58" s="94"/>
      <c r="AO58" s="94"/>
      <c r="AP58" s="94"/>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64" s="129" customFormat="1" ht="18" customHeight="1" x14ac:dyDescent="0.25">
      <c r="A59" s="210"/>
      <c r="B59" s="216">
        <v>1</v>
      </c>
      <c r="C59" s="2141" t="s">
        <v>925</v>
      </c>
      <c r="D59" s="2142"/>
      <c r="E59" s="2142"/>
      <c r="F59" s="2142"/>
      <c r="G59" s="2143"/>
      <c r="H59" s="2061" t="str">
        <f>CONCATENATE("Copy of Driver's Licence - ",+Profile!AJ5)</f>
        <v xml:space="preserve">Copy of Driver's Licence -  </v>
      </c>
      <c r="I59" s="2062"/>
      <c r="J59" s="2062"/>
      <c r="K59" s="2062"/>
      <c r="L59" s="2062"/>
      <c r="M59" s="2062"/>
      <c r="N59" s="2062"/>
      <c r="O59" s="2062"/>
      <c r="P59" s="2062"/>
      <c r="Q59" s="2062"/>
      <c r="R59" s="2062"/>
      <c r="S59" s="2062"/>
      <c r="T59" s="2062"/>
      <c r="U59" s="2062"/>
      <c r="V59" s="2062"/>
      <c r="W59" s="2062"/>
      <c r="X59" s="2062"/>
      <c r="Y59" s="2063"/>
      <c r="Z59" s="215"/>
      <c r="AA59" s="216"/>
      <c r="AB59" s="215"/>
      <c r="AC59" s="94"/>
      <c r="AD59" s="94"/>
      <c r="AE59" s="94"/>
      <c r="AF59" s="94"/>
      <c r="AG59" s="94"/>
      <c r="AH59" s="94"/>
      <c r="AI59" s="94"/>
      <c r="AJ59" s="94"/>
      <c r="AK59" s="94"/>
      <c r="AL59" s="94"/>
      <c r="AM59" s="94"/>
      <c r="AN59" s="94"/>
      <c r="AO59" s="94"/>
      <c r="AP59" s="94"/>
    </row>
    <row r="60" spans="1:64" s="129" customFormat="1" ht="18" customHeight="1" x14ac:dyDescent="0.25">
      <c r="A60" s="210"/>
      <c r="B60" s="216">
        <v>1</v>
      </c>
      <c r="C60" s="2141" t="s">
        <v>925</v>
      </c>
      <c r="D60" s="2142"/>
      <c r="E60" s="2142"/>
      <c r="F60" s="2142"/>
      <c r="G60" s="2143"/>
      <c r="H60" s="2061" t="str">
        <f>CONCATENATE("Copy of Driver's Licence - ",+Profile!AO5)</f>
        <v xml:space="preserve">Copy of Driver's Licence -  </v>
      </c>
      <c r="I60" s="2062"/>
      <c r="J60" s="2062"/>
      <c r="K60" s="2062"/>
      <c r="L60" s="2062"/>
      <c r="M60" s="2062"/>
      <c r="N60" s="2062"/>
      <c r="O60" s="2062"/>
      <c r="P60" s="2062"/>
      <c r="Q60" s="2062"/>
      <c r="R60" s="2062"/>
      <c r="S60" s="2062"/>
      <c r="T60" s="2062"/>
      <c r="U60" s="2062"/>
      <c r="V60" s="2062"/>
      <c r="W60" s="2062"/>
      <c r="X60" s="2062"/>
      <c r="Y60" s="2063"/>
      <c r="Z60" s="215"/>
      <c r="AA60" s="216"/>
      <c r="AB60" s="215"/>
      <c r="AC60" s="94"/>
      <c r="AE60" s="94"/>
      <c r="AF60" s="94"/>
      <c r="AG60" s="94"/>
      <c r="AH60" s="94"/>
      <c r="AI60" s="94"/>
      <c r="AJ60" s="94"/>
      <c r="AK60" s="94"/>
      <c r="AL60" s="94"/>
      <c r="AM60" s="94"/>
      <c r="AN60" s="94"/>
      <c r="AO60" s="94"/>
      <c r="AP60" s="94"/>
    </row>
    <row r="61" spans="1:64" s="129" customFormat="1" ht="18" customHeight="1" x14ac:dyDescent="0.25">
      <c r="A61" s="210"/>
      <c r="B61" s="216"/>
      <c r="C61" s="2141" t="s">
        <v>930</v>
      </c>
      <c r="D61" s="2142"/>
      <c r="E61" s="2142"/>
      <c r="F61" s="2142"/>
      <c r="G61" s="2143"/>
      <c r="H61" s="2061" t="s">
        <v>933</v>
      </c>
      <c r="I61" s="2062"/>
      <c r="J61" s="2062"/>
      <c r="K61" s="2062"/>
      <c r="L61" s="2062"/>
      <c r="M61" s="2062"/>
      <c r="N61" s="2062"/>
      <c r="O61" s="2062"/>
      <c r="P61" s="2062"/>
      <c r="Q61" s="2062"/>
      <c r="R61" s="2062"/>
      <c r="S61" s="2062"/>
      <c r="T61" s="2062"/>
      <c r="U61" s="2062"/>
      <c r="V61" s="2062"/>
      <c r="W61" s="2062"/>
      <c r="X61" s="2062"/>
      <c r="Y61" s="2063"/>
      <c r="Z61" s="215"/>
      <c r="AA61" s="216"/>
      <c r="AB61" s="215"/>
      <c r="AC61" s="94"/>
      <c r="AE61" s="94"/>
      <c r="AF61" s="94"/>
      <c r="AG61" s="94"/>
      <c r="AH61" s="94"/>
      <c r="AI61" s="94"/>
      <c r="AJ61" s="94"/>
      <c r="AK61" s="94"/>
      <c r="AL61" s="94"/>
      <c r="AM61" s="94"/>
      <c r="AN61" s="94"/>
      <c r="AO61" s="94"/>
      <c r="AP61" s="94"/>
    </row>
    <row r="62" spans="1:64" s="129" customFormat="1" ht="18" customHeight="1" x14ac:dyDescent="0.25">
      <c r="A62" s="210"/>
      <c r="B62" s="216"/>
      <c r="C62" s="2141" t="s">
        <v>930</v>
      </c>
      <c r="D62" s="2142"/>
      <c r="E62" s="2142"/>
      <c r="F62" s="2142"/>
      <c r="G62" s="2143"/>
      <c r="H62" s="2061" t="s">
        <v>934</v>
      </c>
      <c r="I62" s="2062"/>
      <c r="J62" s="2062"/>
      <c r="K62" s="2062"/>
      <c r="L62" s="2062"/>
      <c r="M62" s="2062"/>
      <c r="N62" s="2062"/>
      <c r="O62" s="2062"/>
      <c r="P62" s="2062"/>
      <c r="Q62" s="2062"/>
      <c r="R62" s="2062"/>
      <c r="S62" s="2062"/>
      <c r="T62" s="2062"/>
      <c r="U62" s="2062"/>
      <c r="V62" s="2062"/>
      <c r="W62" s="2062"/>
      <c r="X62" s="2062"/>
      <c r="Y62" s="2063"/>
      <c r="Z62" s="215"/>
      <c r="AA62" s="216"/>
      <c r="AB62" s="215"/>
      <c r="AC62" s="94"/>
      <c r="AE62" s="94"/>
      <c r="AF62" s="94"/>
      <c r="AG62" s="94"/>
      <c r="AH62" s="94"/>
      <c r="AI62" s="94"/>
      <c r="AJ62" s="94"/>
      <c r="AK62" s="94"/>
      <c r="AL62" s="94"/>
      <c r="AM62" s="94"/>
      <c r="AN62" s="94"/>
      <c r="AO62" s="94"/>
      <c r="AP62" s="94"/>
    </row>
    <row r="63" spans="1:64" s="129" customFormat="1" ht="18" customHeight="1" x14ac:dyDescent="0.25">
      <c r="A63" s="210"/>
      <c r="B63" s="216"/>
      <c r="C63" s="2141" t="s">
        <v>930</v>
      </c>
      <c r="D63" s="2142"/>
      <c r="E63" s="2142"/>
      <c r="F63" s="2142"/>
      <c r="G63" s="2143"/>
      <c r="H63" s="2061" t="s">
        <v>932</v>
      </c>
      <c r="I63" s="2062"/>
      <c r="J63" s="2062"/>
      <c r="K63" s="2062"/>
      <c r="L63" s="2062"/>
      <c r="M63" s="2062"/>
      <c r="N63" s="2062"/>
      <c r="O63" s="2062"/>
      <c r="P63" s="2062"/>
      <c r="Q63" s="2062"/>
      <c r="R63" s="2062"/>
      <c r="S63" s="2062"/>
      <c r="T63" s="2062"/>
      <c r="U63" s="2062"/>
      <c r="V63" s="2062"/>
      <c r="W63" s="2062"/>
      <c r="X63" s="2062"/>
      <c r="Y63" s="2063"/>
      <c r="Z63" s="215"/>
      <c r="AA63" s="216"/>
      <c r="AB63" s="215"/>
      <c r="AC63" s="94"/>
      <c r="AE63" s="94"/>
      <c r="AF63" s="94"/>
      <c r="AG63" s="94"/>
      <c r="AH63" s="94"/>
      <c r="AI63" s="94"/>
      <c r="AJ63" s="94"/>
      <c r="AK63" s="94"/>
      <c r="AL63" s="94"/>
      <c r="AM63" s="94"/>
      <c r="AN63" s="94"/>
      <c r="AO63" s="94"/>
      <c r="AP63" s="94"/>
    </row>
    <row r="64" spans="1:64" s="129" customFormat="1" ht="18" customHeight="1" x14ac:dyDescent="0.25">
      <c r="A64" s="210"/>
      <c r="B64" s="216"/>
      <c r="C64" s="2141" t="s">
        <v>930</v>
      </c>
      <c r="D64" s="2142"/>
      <c r="E64" s="2142"/>
      <c r="F64" s="2142"/>
      <c r="G64" s="2143"/>
      <c r="H64" s="2061" t="s">
        <v>931</v>
      </c>
      <c r="I64" s="2062"/>
      <c r="J64" s="2062"/>
      <c r="K64" s="2062"/>
      <c r="L64" s="2062"/>
      <c r="M64" s="2062"/>
      <c r="N64" s="2062"/>
      <c r="O64" s="2062"/>
      <c r="P64" s="2062"/>
      <c r="Q64" s="2062"/>
      <c r="R64" s="2062"/>
      <c r="S64" s="2062"/>
      <c r="T64" s="2062"/>
      <c r="U64" s="2062"/>
      <c r="V64" s="2062"/>
      <c r="W64" s="2062"/>
      <c r="X64" s="2062"/>
      <c r="Y64" s="2063"/>
      <c r="Z64" s="215"/>
      <c r="AA64" s="216"/>
      <c r="AB64" s="215"/>
      <c r="AC64" s="94"/>
      <c r="AE64" s="94"/>
      <c r="AF64" s="94"/>
      <c r="AG64" s="94"/>
      <c r="AH64" s="94"/>
      <c r="AI64" s="94"/>
      <c r="AJ64" s="94"/>
      <c r="AK64" s="94"/>
      <c r="AL64" s="94"/>
      <c r="AM64" s="94"/>
      <c r="AN64" s="94"/>
      <c r="AO64" s="94"/>
      <c r="AP64" s="94"/>
    </row>
    <row r="65" spans="1:64" s="129" customFormat="1" ht="18" customHeight="1" x14ac:dyDescent="0.25">
      <c r="A65" s="210"/>
      <c r="B65" s="216"/>
      <c r="C65" s="2141" t="s">
        <v>930</v>
      </c>
      <c r="D65" s="2142"/>
      <c r="E65" s="2142"/>
      <c r="F65" s="2142"/>
      <c r="G65" s="2143"/>
      <c r="H65" s="2061" t="str">
        <f>CONCATENATE("Employment, Name, Address, Role (last 3 yrs) - ",+Profile!AJ5)</f>
        <v xml:space="preserve">Employment, Name, Address, Role (last 3 yrs) -  </v>
      </c>
      <c r="I65" s="2062"/>
      <c r="J65" s="2062"/>
      <c r="K65" s="2062"/>
      <c r="L65" s="2062"/>
      <c r="M65" s="2062"/>
      <c r="N65" s="2062"/>
      <c r="O65" s="2062"/>
      <c r="P65" s="2062"/>
      <c r="Q65" s="2062"/>
      <c r="R65" s="2062"/>
      <c r="S65" s="2062"/>
      <c r="T65" s="2062"/>
      <c r="U65" s="2062"/>
      <c r="V65" s="2062"/>
      <c r="W65" s="2062"/>
      <c r="X65" s="2062"/>
      <c r="Y65" s="2063"/>
      <c r="Z65" s="215"/>
      <c r="AA65" s="216"/>
      <c r="AB65" s="215"/>
      <c r="AC65" s="94"/>
      <c r="AE65" s="94"/>
      <c r="AF65" s="94"/>
      <c r="AG65" s="94"/>
      <c r="AH65" s="94"/>
      <c r="AI65" s="94"/>
      <c r="AJ65" s="94"/>
      <c r="AK65" s="94"/>
      <c r="AL65" s="94"/>
      <c r="AM65" s="94"/>
      <c r="AN65" s="94"/>
      <c r="AO65" s="94"/>
      <c r="AP65" s="94"/>
    </row>
    <row r="66" spans="1:64" s="129" customFormat="1" ht="18" customHeight="1" x14ac:dyDescent="0.25">
      <c r="A66" s="210"/>
      <c r="B66" s="216"/>
      <c r="C66" s="2141" t="s">
        <v>930</v>
      </c>
      <c r="D66" s="2142"/>
      <c r="E66" s="2142"/>
      <c r="F66" s="2142"/>
      <c r="G66" s="2143"/>
      <c r="H66" s="2061" t="str">
        <f>CONCATENATE("Employment, Name, Address, Role (last 3 yrs) - ",+Profile!AO5)</f>
        <v xml:space="preserve">Employment, Name, Address, Role (last 3 yrs) -  </v>
      </c>
      <c r="I66" s="2062"/>
      <c r="J66" s="2062"/>
      <c r="K66" s="2062"/>
      <c r="L66" s="2062"/>
      <c r="M66" s="2062"/>
      <c r="N66" s="2062"/>
      <c r="O66" s="2062"/>
      <c r="P66" s="2062"/>
      <c r="Q66" s="2062"/>
      <c r="R66" s="2062"/>
      <c r="S66" s="2062"/>
      <c r="T66" s="2062"/>
      <c r="U66" s="2062"/>
      <c r="V66" s="2062"/>
      <c r="W66" s="2062"/>
      <c r="X66" s="2062"/>
      <c r="Y66" s="2063"/>
      <c r="Z66" s="215"/>
      <c r="AA66" s="216"/>
      <c r="AB66" s="215"/>
      <c r="AC66" s="94"/>
      <c r="AE66" s="94"/>
      <c r="AF66" s="94"/>
      <c r="AG66" s="94"/>
      <c r="AH66" s="94"/>
      <c r="AI66" s="94"/>
      <c r="AJ66" s="94"/>
      <c r="AK66" s="94"/>
      <c r="AL66" s="94"/>
      <c r="AM66" s="94"/>
      <c r="AN66" s="94"/>
      <c r="AO66" s="94"/>
      <c r="AP66" s="94"/>
    </row>
    <row r="67" spans="1:64" s="129" customFormat="1" ht="18" customHeight="1" x14ac:dyDescent="0.25">
      <c r="A67" s="210"/>
      <c r="B67" s="216"/>
      <c r="C67" s="2141" t="s">
        <v>930</v>
      </c>
      <c r="D67" s="2142"/>
      <c r="E67" s="2142"/>
      <c r="F67" s="2142"/>
      <c r="G67" s="2143"/>
      <c r="H67" s="2061" t="str">
        <f>CONCATENATE("Next of Kin Name, Address, Phone &amp; Relationship - ",+Profile!AJ5)</f>
        <v xml:space="preserve">Next of Kin Name, Address, Phone &amp; Relationship -  </v>
      </c>
      <c r="I67" s="2062"/>
      <c r="J67" s="2062"/>
      <c r="K67" s="2062"/>
      <c r="L67" s="2062"/>
      <c r="M67" s="2062"/>
      <c r="N67" s="2062"/>
      <c r="O67" s="2062"/>
      <c r="P67" s="2062"/>
      <c r="Q67" s="2062"/>
      <c r="R67" s="2062"/>
      <c r="S67" s="2062"/>
      <c r="T67" s="2062"/>
      <c r="U67" s="2062"/>
      <c r="V67" s="2062"/>
      <c r="W67" s="2062"/>
      <c r="X67" s="2062"/>
      <c r="Y67" s="2063"/>
      <c r="Z67" s="215"/>
      <c r="AA67" s="216"/>
      <c r="AB67" s="215"/>
      <c r="AC67" s="94"/>
      <c r="AE67" s="94"/>
      <c r="AF67" s="94"/>
      <c r="AG67" s="94"/>
      <c r="AH67" s="94"/>
      <c r="AI67" s="94"/>
      <c r="AJ67" s="94"/>
      <c r="AK67" s="94"/>
      <c r="AL67" s="94"/>
      <c r="AM67" s="94"/>
      <c r="AN67" s="94"/>
      <c r="AO67" s="94"/>
      <c r="AP67" s="94"/>
    </row>
    <row r="68" spans="1:64" s="129" customFormat="1" ht="18" customHeight="1" x14ac:dyDescent="0.25">
      <c r="A68" s="210"/>
      <c r="B68" s="216"/>
      <c r="C68" s="2141" t="s">
        <v>930</v>
      </c>
      <c r="D68" s="2142"/>
      <c r="E68" s="2142"/>
      <c r="F68" s="2142"/>
      <c r="G68" s="2143"/>
      <c r="H68" s="2061" t="str">
        <f>CONCATENATE("Next of Kin Name, Address, Phone &amp; Relationship - ",+Profile!AO5)</f>
        <v xml:space="preserve">Next of Kin Name, Address, Phone &amp; Relationship -  </v>
      </c>
      <c r="I68" s="2062"/>
      <c r="J68" s="2062"/>
      <c r="K68" s="2062"/>
      <c r="L68" s="2062"/>
      <c r="M68" s="2062"/>
      <c r="N68" s="2062"/>
      <c r="O68" s="2062"/>
      <c r="P68" s="2062"/>
      <c r="Q68" s="2062"/>
      <c r="R68" s="2062"/>
      <c r="S68" s="2062"/>
      <c r="T68" s="2062"/>
      <c r="U68" s="2062"/>
      <c r="V68" s="2062"/>
      <c r="W68" s="2062"/>
      <c r="X68" s="2062"/>
      <c r="Y68" s="2063"/>
      <c r="Z68" s="215"/>
      <c r="AA68" s="216"/>
      <c r="AB68" s="215"/>
      <c r="AC68" s="94"/>
      <c r="AE68" s="94"/>
      <c r="AF68" s="94"/>
      <c r="AG68" s="94"/>
      <c r="AH68" s="94"/>
      <c r="AI68" s="94"/>
      <c r="AJ68" s="94"/>
      <c r="AK68" s="94"/>
      <c r="AL68" s="94"/>
      <c r="AM68" s="94"/>
      <c r="AN68" s="94"/>
      <c r="AO68" s="94"/>
      <c r="AP68" s="94"/>
    </row>
    <row r="69" spans="1:64" s="123" customFormat="1" ht="18" customHeight="1" x14ac:dyDescent="0.25">
      <c r="A69" s="210"/>
      <c r="B69" s="216"/>
      <c r="C69" s="2141" t="s">
        <v>907</v>
      </c>
      <c r="D69" s="2142"/>
      <c r="E69" s="2142"/>
      <c r="F69" s="2142"/>
      <c r="G69" s="2143"/>
      <c r="H69" s="2061" t="str">
        <f>CONCATENATE("Superannuation Statements - ",Profile!BE6)</f>
        <v>Superannuation Statements - 0</v>
      </c>
      <c r="I69" s="2062"/>
      <c r="J69" s="2062"/>
      <c r="K69" s="2062"/>
      <c r="L69" s="2062"/>
      <c r="M69" s="2062"/>
      <c r="N69" s="2062"/>
      <c r="O69" s="2062"/>
      <c r="P69" s="2062"/>
      <c r="Q69" s="2062"/>
      <c r="R69" s="2062"/>
      <c r="S69" s="2062"/>
      <c r="T69" s="2062"/>
      <c r="U69" s="2062"/>
      <c r="V69" s="2062"/>
      <c r="W69" s="2062"/>
      <c r="X69" s="2062"/>
      <c r="Y69" s="2063"/>
      <c r="Z69" s="215"/>
      <c r="AA69" s="216"/>
      <c r="AB69" s="215"/>
      <c r="AC69" s="94"/>
      <c r="AD69" s="94"/>
      <c r="AE69" s="94"/>
      <c r="AF69" s="94"/>
      <c r="AG69" s="94"/>
      <c r="AH69" s="94"/>
      <c r="AI69" s="94"/>
      <c r="AJ69" s="94"/>
      <c r="AK69" s="94"/>
      <c r="AL69" s="94"/>
      <c r="AM69" s="94"/>
      <c r="AN69" s="94"/>
      <c r="AO69" s="94"/>
      <c r="AP69" s="94"/>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row>
    <row r="70" spans="1:64" ht="18" customHeight="1" x14ac:dyDescent="0.25">
      <c r="A70" s="210"/>
      <c r="B70" s="216">
        <v>0</v>
      </c>
      <c r="C70" s="2141" t="s">
        <v>902</v>
      </c>
      <c r="D70" s="2142"/>
      <c r="E70" s="2142"/>
      <c r="F70" s="2142"/>
      <c r="G70" s="2143"/>
      <c r="H70" s="2061" t="str">
        <f>CONCATENATE("Lenders Privacy Form - ",Profile!BE6," to sign")</f>
        <v>Lenders Privacy Form - 0 to sign</v>
      </c>
      <c r="I70" s="2062"/>
      <c r="J70" s="2062"/>
      <c r="K70" s="2062"/>
      <c r="L70" s="2062"/>
      <c r="M70" s="2062"/>
      <c r="N70" s="2062"/>
      <c r="O70" s="2062"/>
      <c r="P70" s="2062"/>
      <c r="Q70" s="2062"/>
      <c r="R70" s="2062"/>
      <c r="S70" s="2062"/>
      <c r="T70" s="2062"/>
      <c r="U70" s="2062"/>
      <c r="V70" s="2062"/>
      <c r="W70" s="2062"/>
      <c r="X70" s="2062"/>
      <c r="Y70" s="2063"/>
      <c r="Z70" s="210"/>
      <c r="AA70" s="216"/>
      <c r="AB70" s="215"/>
    </row>
    <row r="71" spans="1:64" ht="18" customHeight="1" x14ac:dyDescent="0.25">
      <c r="A71" s="210"/>
      <c r="B71" s="216">
        <v>0</v>
      </c>
      <c r="C71" s="2141" t="s">
        <v>902</v>
      </c>
      <c r="D71" s="2142"/>
      <c r="E71" s="2142"/>
      <c r="F71" s="2142"/>
      <c r="G71" s="2143"/>
      <c r="H71" s="2061" t="str">
        <f>CONCATENATE("Premium Broker Credit Quote - ",Profile!BE6," to sign")</f>
        <v>Premium Broker Credit Quote - 0 to sign</v>
      </c>
      <c r="I71" s="2062"/>
      <c r="J71" s="2062"/>
      <c r="K71" s="2062"/>
      <c r="L71" s="2062"/>
      <c r="M71" s="2062"/>
      <c r="N71" s="2062"/>
      <c r="O71" s="2062"/>
      <c r="P71" s="2062"/>
      <c r="Q71" s="2062"/>
      <c r="R71" s="2062"/>
      <c r="S71" s="2062"/>
      <c r="T71" s="2062"/>
      <c r="U71" s="2062"/>
      <c r="V71" s="2062"/>
      <c r="W71" s="2062"/>
      <c r="X71" s="2062"/>
      <c r="Y71" s="2063"/>
      <c r="Z71" s="210"/>
      <c r="AA71" s="216"/>
      <c r="AB71" s="215"/>
    </row>
    <row r="72" spans="1:64" ht="18" customHeight="1" x14ac:dyDescent="0.25">
      <c r="A72" s="210"/>
      <c r="B72" s="216">
        <v>0</v>
      </c>
      <c r="C72" s="2141" t="s">
        <v>902</v>
      </c>
      <c r="D72" s="2142"/>
      <c r="E72" s="2142"/>
      <c r="F72" s="2142"/>
      <c r="G72" s="2143"/>
      <c r="H72" s="2061" t="str">
        <f>CONCATENATE("Premium Broker Privacy - ",Profile!BE6," to sign")</f>
        <v>Premium Broker Privacy - 0 to sign</v>
      </c>
      <c r="I72" s="2062"/>
      <c r="J72" s="2062"/>
      <c r="K72" s="2062"/>
      <c r="L72" s="2062"/>
      <c r="M72" s="2062"/>
      <c r="N72" s="2062"/>
      <c r="O72" s="2062"/>
      <c r="P72" s="2062"/>
      <c r="Q72" s="2062"/>
      <c r="R72" s="2062"/>
      <c r="S72" s="2062"/>
      <c r="T72" s="2062"/>
      <c r="U72" s="2062"/>
      <c r="V72" s="2062"/>
      <c r="W72" s="2062"/>
      <c r="X72" s="2062"/>
      <c r="Y72" s="2063"/>
      <c r="Z72" s="210"/>
      <c r="AA72" s="216"/>
      <c r="AB72" s="215"/>
    </row>
    <row r="73" spans="1:64" ht="5.45" customHeight="1" x14ac:dyDescent="0.25">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5"/>
    </row>
    <row r="74" spans="1:64" ht="15" x14ac:dyDescent="0.25">
      <c r="A74" s="210"/>
      <c r="B74" s="2070" t="s">
        <v>782</v>
      </c>
      <c r="C74" s="2070"/>
      <c r="D74" s="2070"/>
      <c r="E74" s="2070"/>
      <c r="F74" s="2070"/>
      <c r="G74" s="2070"/>
      <c r="H74" s="2070"/>
      <c r="I74" s="2070"/>
      <c r="J74" s="2070"/>
      <c r="K74" s="2070"/>
      <c r="L74" s="2070"/>
      <c r="M74" s="2070"/>
      <c r="N74" s="2070"/>
      <c r="O74" s="2070"/>
      <c r="P74" s="2070"/>
      <c r="Q74" s="2070"/>
      <c r="R74" s="2070"/>
      <c r="S74" s="2070"/>
      <c r="T74" s="2070"/>
      <c r="U74" s="2070"/>
      <c r="V74" s="2070"/>
      <c r="W74" s="2070"/>
      <c r="X74" s="2070"/>
      <c r="Y74" s="2070"/>
      <c r="Z74" s="2070"/>
      <c r="AA74" s="210"/>
      <c r="AB74" s="215"/>
    </row>
    <row r="75" spans="1:64" ht="14.45" customHeight="1" x14ac:dyDescent="0.25">
      <c r="A75" s="210"/>
      <c r="B75" s="992" t="s">
        <v>928</v>
      </c>
      <c r="C75" s="210"/>
      <c r="D75" s="210"/>
      <c r="E75" s="210"/>
      <c r="F75" s="210"/>
      <c r="G75" s="210"/>
      <c r="H75" s="210"/>
      <c r="I75" s="210"/>
      <c r="J75" s="210"/>
      <c r="K75" s="210"/>
      <c r="L75" s="210"/>
      <c r="M75" s="210"/>
      <c r="N75" s="210"/>
      <c r="O75" s="210"/>
      <c r="P75" s="214"/>
      <c r="Q75" s="210"/>
      <c r="R75" s="210"/>
      <c r="S75" s="210"/>
      <c r="T75" s="210"/>
      <c r="U75" s="210"/>
      <c r="V75" s="210"/>
      <c r="W75" s="210"/>
      <c r="X75" s="210"/>
      <c r="Y75" s="210"/>
      <c r="Z75" s="210"/>
      <c r="AA75" s="210"/>
    </row>
    <row r="76" spans="1:64" ht="13.15" customHeight="1" x14ac:dyDescent="0.25">
      <c r="A76" s="210"/>
      <c r="B76" s="992" t="s">
        <v>929</v>
      </c>
      <c r="C76" s="210"/>
      <c r="D76" s="210"/>
      <c r="E76" s="210"/>
      <c r="F76" s="210"/>
      <c r="G76" s="210"/>
      <c r="H76" s="210"/>
      <c r="I76" s="210"/>
      <c r="J76" s="210"/>
      <c r="K76" s="210"/>
      <c r="L76" s="210"/>
      <c r="M76" s="210"/>
      <c r="N76" s="210"/>
      <c r="O76" s="210"/>
      <c r="P76" s="214"/>
      <c r="Q76" s="210"/>
      <c r="R76" s="210"/>
      <c r="S76" s="210"/>
      <c r="T76" s="210"/>
      <c r="U76" s="210"/>
      <c r="V76" s="210"/>
      <c r="W76" s="210"/>
      <c r="X76" s="210"/>
      <c r="Y76" s="210"/>
      <c r="Z76" s="210"/>
      <c r="AA76" s="210"/>
    </row>
    <row r="77" spans="1:64" ht="18.75" customHeight="1" x14ac:dyDescent="0.25">
      <c r="A77" s="210"/>
      <c r="B77" s="210"/>
      <c r="C77" s="210"/>
      <c r="D77" s="210"/>
      <c r="E77" s="210"/>
      <c r="F77" s="210"/>
      <c r="G77" s="210"/>
      <c r="H77" s="210"/>
      <c r="I77" s="210"/>
      <c r="J77" s="210"/>
      <c r="K77" s="210"/>
      <c r="L77" s="210"/>
      <c r="M77" s="210"/>
      <c r="N77" s="210"/>
      <c r="O77" s="210"/>
      <c r="P77" s="214"/>
      <c r="Q77" s="210"/>
      <c r="R77" s="210"/>
      <c r="S77" s="210"/>
      <c r="T77" s="210"/>
      <c r="U77" s="210"/>
      <c r="V77" s="210"/>
      <c r="W77" s="210"/>
      <c r="X77" s="210"/>
      <c r="Y77" s="210"/>
      <c r="Z77" s="210"/>
      <c r="AA77" s="210"/>
    </row>
    <row r="78" spans="1:64" ht="18.75" customHeight="1" x14ac:dyDescent="0.25">
      <c r="A78" s="210"/>
      <c r="B78" s="210"/>
      <c r="C78" s="210"/>
      <c r="D78" s="210"/>
      <c r="E78" s="210"/>
      <c r="F78" s="210"/>
      <c r="G78" s="210"/>
      <c r="H78" s="210"/>
      <c r="I78" s="210"/>
      <c r="J78" s="210"/>
      <c r="K78" s="210"/>
      <c r="L78" s="210"/>
      <c r="M78" s="210"/>
      <c r="N78" s="210"/>
      <c r="O78" s="210"/>
      <c r="P78" s="214"/>
      <c r="Q78" s="210"/>
      <c r="R78" s="210"/>
      <c r="S78" s="210"/>
      <c r="T78" s="210"/>
      <c r="U78" s="210"/>
      <c r="V78" s="210"/>
      <c r="W78" s="210"/>
      <c r="X78" s="210"/>
      <c r="Y78" s="210"/>
      <c r="Z78" s="210"/>
      <c r="AA78" s="210"/>
    </row>
    <row r="79" spans="1:64" ht="18.75" customHeight="1" x14ac:dyDescent="0.25">
      <c r="A79" s="210"/>
      <c r="B79" s="210"/>
      <c r="C79" s="210"/>
      <c r="D79" s="210"/>
      <c r="E79" s="210"/>
      <c r="F79" s="210"/>
      <c r="G79" s="210"/>
      <c r="H79" s="210"/>
      <c r="I79" s="210"/>
      <c r="J79" s="210"/>
      <c r="K79" s="210"/>
      <c r="L79" s="210"/>
      <c r="M79" s="210"/>
      <c r="N79" s="210"/>
      <c r="O79" s="210"/>
      <c r="P79" s="214"/>
      <c r="Q79" s="210"/>
      <c r="R79" s="210"/>
      <c r="S79" s="210"/>
      <c r="T79" s="210"/>
      <c r="U79" s="210"/>
      <c r="V79" s="210"/>
      <c r="W79" s="210"/>
      <c r="X79" s="210"/>
      <c r="Y79" s="210"/>
      <c r="Z79" s="210"/>
      <c r="AA79" s="210"/>
    </row>
    <row r="80" spans="1:64" ht="18.75" customHeight="1" x14ac:dyDescent="0.25">
      <c r="B80" s="210"/>
      <c r="C80" s="210"/>
      <c r="D80" s="210"/>
      <c r="E80" s="210"/>
      <c r="F80" s="210"/>
      <c r="G80" s="210"/>
      <c r="H80" s="210"/>
      <c r="I80" s="210"/>
      <c r="J80" s="210"/>
      <c r="K80" s="210"/>
      <c r="L80" s="210"/>
      <c r="M80" s="210"/>
      <c r="N80" s="210"/>
      <c r="O80" s="210"/>
      <c r="P80" s="214"/>
      <c r="Q80" s="210"/>
      <c r="R80" s="210"/>
      <c r="S80" s="210"/>
      <c r="T80" s="210"/>
      <c r="U80" s="210"/>
      <c r="V80" s="210"/>
      <c r="W80" s="210"/>
      <c r="X80" s="210"/>
      <c r="Y80" s="210"/>
      <c r="Z80" s="210"/>
      <c r="AA80" s="210"/>
    </row>
    <row r="81" spans="2:27" ht="18.75" customHeight="1" x14ac:dyDescent="0.25">
      <c r="B81" s="210"/>
      <c r="C81" s="210"/>
      <c r="D81" s="210"/>
      <c r="E81" s="210"/>
      <c r="F81" s="210"/>
      <c r="G81" s="210"/>
      <c r="H81" s="210"/>
      <c r="I81" s="210"/>
      <c r="J81" s="210"/>
      <c r="K81" s="210"/>
      <c r="L81" s="210"/>
      <c r="M81" s="210"/>
      <c r="N81" s="210"/>
      <c r="O81" s="210"/>
      <c r="P81" s="214"/>
      <c r="Q81" s="210"/>
      <c r="R81" s="210"/>
      <c r="S81" s="210"/>
      <c r="T81" s="210"/>
      <c r="U81" s="210"/>
      <c r="V81" s="210"/>
      <c r="W81" s="210"/>
      <c r="X81" s="210"/>
      <c r="Y81" s="210"/>
      <c r="Z81" s="210"/>
      <c r="AA81" s="210"/>
    </row>
    <row r="82" spans="2:27" ht="18.75" customHeight="1" x14ac:dyDescent="0.25">
      <c r="B82" s="210"/>
      <c r="C82" s="210"/>
      <c r="D82" s="210"/>
      <c r="E82" s="210"/>
      <c r="F82" s="210"/>
      <c r="G82" s="210"/>
      <c r="H82" s="210"/>
      <c r="I82" s="210"/>
      <c r="J82" s="210"/>
      <c r="K82" s="210"/>
      <c r="L82" s="210"/>
      <c r="M82" s="210"/>
      <c r="N82" s="210"/>
      <c r="O82" s="210"/>
      <c r="P82" s="214"/>
      <c r="Q82" s="210"/>
      <c r="R82" s="210"/>
      <c r="S82" s="210"/>
      <c r="T82" s="210"/>
      <c r="U82" s="210"/>
      <c r="V82" s="210"/>
      <c r="W82" s="210"/>
      <c r="X82" s="210"/>
      <c r="Y82" s="210"/>
      <c r="Z82" s="210"/>
      <c r="AA82" s="210"/>
    </row>
    <row r="83" spans="2:27" ht="18.75" customHeight="1" x14ac:dyDescent="0.25">
      <c r="B83" s="210"/>
      <c r="C83" s="210"/>
      <c r="D83" s="210"/>
      <c r="E83" s="210"/>
      <c r="F83" s="210"/>
      <c r="G83" s="210"/>
      <c r="H83" s="210"/>
      <c r="I83" s="210"/>
      <c r="J83" s="210"/>
      <c r="K83" s="210"/>
      <c r="L83" s="210"/>
      <c r="M83" s="210"/>
      <c r="N83" s="210"/>
      <c r="O83" s="210"/>
      <c r="P83" s="214"/>
      <c r="Q83" s="210"/>
      <c r="R83" s="210"/>
      <c r="S83" s="210"/>
      <c r="T83" s="210"/>
      <c r="U83" s="210"/>
      <c r="V83" s="210"/>
      <c r="W83" s="210"/>
      <c r="X83" s="210"/>
      <c r="Y83" s="210"/>
      <c r="Z83" s="210"/>
      <c r="AA83" s="210"/>
    </row>
    <row r="84" spans="2:27" ht="18.75" customHeight="1" x14ac:dyDescent="0.25">
      <c r="B84" s="210"/>
      <c r="C84" s="210"/>
      <c r="D84" s="210"/>
      <c r="E84" s="210"/>
      <c r="F84" s="210"/>
      <c r="G84" s="210"/>
      <c r="H84" s="210"/>
      <c r="I84" s="210"/>
      <c r="J84" s="210"/>
      <c r="K84" s="210"/>
      <c r="L84" s="210"/>
      <c r="M84" s="210"/>
      <c r="N84" s="210"/>
      <c r="O84" s="210"/>
      <c r="P84" s="214"/>
      <c r="Q84" s="210"/>
      <c r="R84" s="210"/>
      <c r="S84" s="210"/>
      <c r="T84" s="210"/>
      <c r="U84" s="210"/>
      <c r="V84" s="210"/>
      <c r="W84" s="210"/>
      <c r="X84" s="210"/>
      <c r="Y84" s="210"/>
      <c r="Z84" s="210"/>
      <c r="AA84" s="210"/>
    </row>
    <row r="85" spans="2:27" ht="18.75" customHeight="1" x14ac:dyDescent="0.25">
      <c r="B85" s="210"/>
      <c r="C85" s="210"/>
      <c r="D85" s="210"/>
      <c r="E85" s="210"/>
      <c r="F85" s="210"/>
      <c r="G85" s="210"/>
      <c r="H85" s="210"/>
      <c r="I85" s="210"/>
      <c r="J85" s="210"/>
      <c r="K85" s="210"/>
      <c r="L85" s="210"/>
      <c r="M85" s="210"/>
      <c r="N85" s="210"/>
      <c r="O85" s="210"/>
      <c r="P85" s="214"/>
      <c r="Q85" s="210"/>
      <c r="R85" s="210"/>
      <c r="S85" s="210"/>
      <c r="T85" s="210"/>
      <c r="U85" s="210"/>
      <c r="V85" s="210"/>
      <c r="W85" s="210"/>
      <c r="X85" s="210"/>
      <c r="Y85" s="210"/>
      <c r="Z85" s="210"/>
      <c r="AA85" s="210"/>
    </row>
    <row r="86" spans="2:27" ht="18.75" customHeight="1" x14ac:dyDescent="0.25">
      <c r="B86" s="210"/>
      <c r="C86" s="210"/>
      <c r="D86" s="210"/>
      <c r="E86" s="210"/>
      <c r="F86" s="210"/>
      <c r="G86" s="210"/>
      <c r="H86" s="210"/>
      <c r="I86" s="210"/>
      <c r="J86" s="210"/>
      <c r="K86" s="210"/>
      <c r="L86" s="210"/>
      <c r="M86" s="210"/>
      <c r="N86" s="210"/>
      <c r="O86" s="210"/>
      <c r="P86" s="214"/>
      <c r="Q86" s="210"/>
      <c r="R86" s="210"/>
      <c r="S86" s="210"/>
      <c r="T86" s="210"/>
      <c r="U86" s="210"/>
      <c r="V86" s="210"/>
      <c r="W86" s="210"/>
      <c r="X86" s="210"/>
      <c r="Y86" s="210"/>
      <c r="Z86" s="210"/>
      <c r="AA86" s="210"/>
    </row>
    <row r="87" spans="2:27" ht="18.75" customHeight="1" x14ac:dyDescent="0.25">
      <c r="B87" s="210"/>
      <c r="C87" s="210"/>
      <c r="D87" s="210"/>
      <c r="E87" s="210"/>
      <c r="F87" s="210"/>
      <c r="G87" s="210"/>
      <c r="H87" s="210"/>
      <c r="I87" s="210"/>
      <c r="J87" s="210"/>
      <c r="K87" s="210"/>
      <c r="L87" s="210"/>
      <c r="M87" s="210"/>
      <c r="N87" s="210"/>
      <c r="O87" s="210"/>
      <c r="P87" s="214"/>
      <c r="Q87" s="210"/>
      <c r="R87" s="210"/>
      <c r="S87" s="210"/>
      <c r="T87" s="210"/>
      <c r="U87" s="210"/>
      <c r="V87" s="210"/>
      <c r="W87" s="210"/>
      <c r="X87" s="210"/>
      <c r="Y87" s="210"/>
      <c r="Z87" s="210"/>
      <c r="AA87" s="210"/>
    </row>
    <row r="88" spans="2:27" ht="18.75" customHeight="1" x14ac:dyDescent="0.25">
      <c r="B88" s="210"/>
      <c r="C88" s="210"/>
      <c r="D88" s="210"/>
      <c r="E88" s="210"/>
      <c r="F88" s="210"/>
      <c r="G88" s="210"/>
      <c r="H88" s="210"/>
      <c r="I88" s="210"/>
      <c r="J88" s="210"/>
      <c r="K88" s="210"/>
      <c r="L88" s="210"/>
      <c r="M88" s="210"/>
      <c r="N88" s="210"/>
      <c r="O88" s="210"/>
      <c r="P88" s="214"/>
      <c r="Q88" s="210"/>
      <c r="R88" s="210"/>
      <c r="S88" s="210"/>
      <c r="T88" s="210"/>
      <c r="U88" s="210"/>
      <c r="V88" s="210"/>
      <c r="W88" s="210"/>
      <c r="X88" s="210"/>
      <c r="Y88" s="210"/>
      <c r="Z88" s="210"/>
      <c r="AA88" s="210"/>
    </row>
    <row r="89" spans="2:27" ht="18.75" customHeight="1" x14ac:dyDescent="0.25">
      <c r="B89" s="210"/>
      <c r="C89" s="210"/>
      <c r="D89" s="210"/>
      <c r="E89" s="210"/>
      <c r="F89" s="210"/>
      <c r="G89" s="210"/>
      <c r="H89" s="210"/>
      <c r="I89" s="210"/>
      <c r="J89" s="210"/>
      <c r="K89" s="210"/>
      <c r="L89" s="210"/>
      <c r="M89" s="210"/>
      <c r="N89" s="210"/>
      <c r="O89" s="210"/>
      <c r="P89" s="214"/>
      <c r="Q89" s="210"/>
      <c r="R89" s="210"/>
      <c r="S89" s="210"/>
      <c r="T89" s="210"/>
      <c r="U89" s="210"/>
      <c r="V89" s="210"/>
      <c r="W89" s="210"/>
      <c r="X89" s="210"/>
      <c r="Y89" s="210"/>
      <c r="Z89" s="210"/>
      <c r="AA89" s="210"/>
    </row>
    <row r="90" spans="2:27" ht="18.75" customHeight="1" x14ac:dyDescent="0.25">
      <c r="B90" s="210"/>
      <c r="C90" s="210"/>
      <c r="D90" s="210"/>
      <c r="E90" s="210"/>
      <c r="F90" s="210"/>
      <c r="G90" s="210"/>
      <c r="H90" s="210"/>
      <c r="I90" s="210"/>
      <c r="J90" s="210"/>
      <c r="K90" s="210"/>
      <c r="L90" s="210"/>
      <c r="M90" s="210"/>
      <c r="N90" s="210"/>
      <c r="O90" s="210"/>
      <c r="P90" s="214"/>
      <c r="Q90" s="210"/>
      <c r="R90" s="210"/>
      <c r="S90" s="210"/>
      <c r="T90" s="210"/>
      <c r="U90" s="210"/>
      <c r="V90" s="210"/>
      <c r="W90" s="210"/>
      <c r="X90" s="210"/>
      <c r="Y90" s="210"/>
      <c r="Z90" s="210"/>
      <c r="AA90" s="210"/>
    </row>
    <row r="91" spans="2:27" ht="18.75" customHeight="1" x14ac:dyDescent="0.25">
      <c r="B91" s="210"/>
      <c r="C91" s="210"/>
      <c r="D91" s="210"/>
      <c r="E91" s="210"/>
      <c r="F91" s="210"/>
      <c r="G91" s="210"/>
      <c r="H91" s="210"/>
      <c r="I91" s="210"/>
      <c r="J91" s="210"/>
      <c r="K91" s="210"/>
      <c r="L91" s="210"/>
      <c r="M91" s="210"/>
      <c r="N91" s="210"/>
      <c r="O91" s="210"/>
      <c r="P91" s="214"/>
      <c r="Q91" s="210"/>
      <c r="R91" s="210"/>
      <c r="S91" s="210"/>
      <c r="T91" s="210"/>
      <c r="U91" s="210"/>
      <c r="V91" s="210"/>
      <c r="W91" s="210"/>
      <c r="X91" s="210"/>
      <c r="Y91" s="210"/>
      <c r="Z91" s="210"/>
      <c r="AA91" s="210"/>
    </row>
    <row r="92" spans="2:27" ht="18.75" customHeight="1" x14ac:dyDescent="0.25">
      <c r="B92" s="210"/>
      <c r="C92" s="210"/>
      <c r="D92" s="210"/>
      <c r="E92" s="210"/>
      <c r="F92" s="210"/>
      <c r="G92" s="210"/>
      <c r="H92" s="210"/>
      <c r="I92" s="210"/>
      <c r="J92" s="210"/>
      <c r="K92" s="210"/>
      <c r="L92" s="210"/>
      <c r="M92" s="210"/>
      <c r="N92" s="210"/>
      <c r="O92" s="210"/>
      <c r="P92" s="214"/>
      <c r="Q92" s="210"/>
      <c r="R92" s="210"/>
      <c r="S92" s="210"/>
      <c r="T92" s="210"/>
      <c r="U92" s="210"/>
      <c r="V92" s="210"/>
      <c r="W92" s="210"/>
      <c r="X92" s="210"/>
      <c r="Y92" s="210"/>
      <c r="Z92" s="210"/>
      <c r="AA92" s="210"/>
    </row>
    <row r="93" spans="2:27" ht="18.75" customHeight="1" x14ac:dyDescent="0.25">
      <c r="B93" s="210"/>
      <c r="C93" s="210"/>
      <c r="D93" s="210"/>
      <c r="E93" s="210"/>
      <c r="F93" s="210"/>
      <c r="G93" s="210"/>
      <c r="H93" s="210"/>
      <c r="I93" s="210"/>
      <c r="J93" s="210"/>
      <c r="K93" s="210"/>
      <c r="L93" s="210"/>
      <c r="M93" s="210"/>
      <c r="N93" s="210"/>
      <c r="O93" s="210"/>
      <c r="P93" s="214"/>
      <c r="Q93" s="210"/>
      <c r="R93" s="210"/>
      <c r="S93" s="210"/>
      <c r="T93" s="210"/>
      <c r="U93" s="210"/>
      <c r="V93" s="210"/>
      <c r="W93" s="210"/>
      <c r="X93" s="210"/>
      <c r="Y93" s="210"/>
      <c r="Z93" s="210"/>
      <c r="AA93" s="210"/>
    </row>
    <row r="94" spans="2:27" ht="18.75" customHeight="1" x14ac:dyDescent="0.25">
      <c r="B94" s="210"/>
      <c r="C94" s="210"/>
      <c r="D94" s="210"/>
      <c r="E94" s="210"/>
      <c r="F94" s="210"/>
      <c r="G94" s="210"/>
      <c r="H94" s="210"/>
      <c r="I94" s="210"/>
      <c r="J94" s="210"/>
      <c r="K94" s="210"/>
      <c r="L94" s="210"/>
      <c r="M94" s="210"/>
      <c r="N94" s="210"/>
      <c r="O94" s="210"/>
      <c r="P94" s="214"/>
      <c r="Q94" s="210"/>
      <c r="R94" s="210"/>
      <c r="S94" s="210"/>
      <c r="T94" s="210"/>
      <c r="U94" s="210"/>
      <c r="V94" s="210"/>
      <c r="W94" s="210"/>
      <c r="X94" s="210"/>
      <c r="Y94" s="210"/>
      <c r="Z94" s="210"/>
      <c r="AA94" s="210"/>
    </row>
    <row r="95" spans="2:27" ht="18.75" customHeight="1" x14ac:dyDescent="0.25">
      <c r="B95" s="210"/>
      <c r="C95" s="210"/>
      <c r="D95" s="210"/>
      <c r="E95" s="210"/>
      <c r="F95" s="210"/>
      <c r="G95" s="210"/>
      <c r="H95" s="210"/>
      <c r="I95" s="210"/>
      <c r="J95" s="210"/>
      <c r="K95" s="210"/>
      <c r="L95" s="210"/>
      <c r="M95" s="210"/>
      <c r="N95" s="210"/>
      <c r="O95" s="210"/>
      <c r="P95" s="214"/>
      <c r="Q95" s="210"/>
      <c r="R95" s="210"/>
      <c r="S95" s="210"/>
      <c r="T95" s="210"/>
      <c r="U95" s="210"/>
      <c r="V95" s="210"/>
      <c r="W95" s="210"/>
      <c r="X95" s="210"/>
      <c r="Y95" s="210"/>
      <c r="Z95" s="210"/>
      <c r="AA95" s="210"/>
    </row>
    <row r="96" spans="2:27" ht="18.75" customHeight="1" x14ac:dyDescent="0.25">
      <c r="B96" s="210"/>
      <c r="C96" s="210"/>
      <c r="D96" s="210"/>
      <c r="E96" s="210"/>
      <c r="F96" s="210"/>
      <c r="G96" s="210"/>
      <c r="H96" s="210"/>
      <c r="I96" s="210"/>
      <c r="J96" s="210"/>
      <c r="K96" s="210"/>
      <c r="L96" s="210"/>
      <c r="M96" s="210"/>
      <c r="N96" s="210"/>
      <c r="O96" s="210"/>
      <c r="P96" s="214"/>
      <c r="Q96" s="210"/>
      <c r="R96" s="210"/>
      <c r="S96" s="210"/>
      <c r="T96" s="210"/>
      <c r="U96" s="210"/>
      <c r="V96" s="210"/>
      <c r="W96" s="210"/>
      <c r="X96" s="210"/>
      <c r="Y96" s="210"/>
      <c r="Z96" s="210"/>
      <c r="AA96" s="210"/>
    </row>
    <row r="97" spans="2:27" ht="18.75" customHeight="1" x14ac:dyDescent="0.25">
      <c r="B97" s="210"/>
      <c r="C97" s="210"/>
      <c r="D97" s="210"/>
      <c r="E97" s="210"/>
      <c r="F97" s="210"/>
      <c r="G97" s="210"/>
      <c r="H97" s="210"/>
      <c r="I97" s="210"/>
      <c r="J97" s="210"/>
      <c r="K97" s="210"/>
      <c r="L97" s="210"/>
      <c r="M97" s="210"/>
      <c r="N97" s="210"/>
      <c r="O97" s="210"/>
      <c r="P97" s="214"/>
      <c r="Q97" s="210"/>
      <c r="R97" s="210"/>
      <c r="S97" s="210"/>
      <c r="T97" s="210"/>
      <c r="U97" s="210"/>
      <c r="V97" s="210"/>
      <c r="W97" s="210"/>
      <c r="X97" s="210"/>
      <c r="Y97" s="210"/>
      <c r="Z97" s="210"/>
      <c r="AA97" s="210"/>
    </row>
    <row r="98" spans="2:27" ht="18.75" customHeight="1" x14ac:dyDescent="0.25">
      <c r="B98" s="210"/>
      <c r="C98" s="210"/>
      <c r="D98" s="210"/>
      <c r="E98" s="210"/>
      <c r="F98" s="210"/>
      <c r="G98" s="210"/>
      <c r="H98" s="210"/>
      <c r="I98" s="210"/>
      <c r="J98" s="210"/>
      <c r="K98" s="210"/>
      <c r="L98" s="210"/>
      <c r="M98" s="210"/>
      <c r="N98" s="210"/>
      <c r="O98" s="210"/>
      <c r="P98" s="214"/>
      <c r="Q98" s="210"/>
      <c r="R98" s="210"/>
      <c r="S98" s="210"/>
      <c r="T98" s="210"/>
      <c r="U98" s="210"/>
      <c r="V98" s="210"/>
      <c r="W98" s="210"/>
      <c r="X98" s="210"/>
      <c r="Y98" s="210"/>
      <c r="Z98" s="210"/>
      <c r="AA98" s="210"/>
    </row>
    <row r="99" spans="2:27" ht="18.75" customHeight="1" x14ac:dyDescent="0.25">
      <c r="B99" s="210"/>
      <c r="C99" s="210"/>
      <c r="D99" s="210"/>
      <c r="E99" s="210"/>
      <c r="F99" s="210"/>
      <c r="G99" s="210"/>
      <c r="H99" s="210"/>
      <c r="I99" s="210"/>
      <c r="J99" s="210"/>
      <c r="K99" s="210"/>
      <c r="L99" s="210"/>
      <c r="M99" s="210"/>
      <c r="N99" s="210"/>
      <c r="O99" s="210"/>
      <c r="P99" s="214"/>
      <c r="Q99" s="210"/>
      <c r="R99" s="210"/>
      <c r="S99" s="210"/>
      <c r="T99" s="210"/>
      <c r="U99" s="210"/>
      <c r="V99" s="210"/>
      <c r="W99" s="210"/>
      <c r="X99" s="210"/>
      <c r="Y99" s="210"/>
      <c r="Z99" s="210"/>
      <c r="AA99" s="210"/>
    </row>
    <row r="100" spans="2:27" ht="18.75" customHeight="1" x14ac:dyDescent="0.25">
      <c r="B100" s="210"/>
      <c r="C100" s="210"/>
      <c r="D100" s="210"/>
      <c r="E100" s="210"/>
      <c r="F100" s="210"/>
      <c r="G100" s="210"/>
      <c r="H100" s="210"/>
      <c r="I100" s="210"/>
      <c r="J100" s="210"/>
      <c r="K100" s="210"/>
      <c r="L100" s="210"/>
      <c r="M100" s="210"/>
      <c r="N100" s="210"/>
      <c r="O100" s="210"/>
      <c r="P100" s="214"/>
      <c r="Q100" s="210"/>
      <c r="R100" s="210"/>
      <c r="S100" s="210"/>
      <c r="T100" s="210"/>
      <c r="U100" s="210"/>
      <c r="V100" s="210"/>
      <c r="W100" s="210"/>
      <c r="X100" s="210"/>
      <c r="Y100" s="210"/>
      <c r="Z100" s="210"/>
      <c r="AA100" s="210"/>
    </row>
    <row r="101" spans="2:27" ht="18.75" customHeight="1" x14ac:dyDescent="0.25">
      <c r="B101" s="210"/>
      <c r="C101" s="210"/>
      <c r="D101" s="210"/>
      <c r="E101" s="210"/>
      <c r="F101" s="210"/>
      <c r="G101" s="210"/>
      <c r="H101" s="210"/>
      <c r="I101" s="210"/>
      <c r="J101" s="210"/>
      <c r="K101" s="210"/>
      <c r="L101" s="210"/>
      <c r="M101" s="210"/>
      <c r="N101" s="210"/>
      <c r="O101" s="210"/>
      <c r="P101" s="214"/>
      <c r="Q101" s="210"/>
      <c r="R101" s="210"/>
      <c r="S101" s="210"/>
      <c r="T101" s="210"/>
      <c r="U101" s="210"/>
      <c r="V101" s="210"/>
      <c r="W101" s="210"/>
      <c r="X101" s="210"/>
      <c r="Y101" s="210"/>
      <c r="Z101" s="210"/>
      <c r="AA101" s="210"/>
    </row>
    <row r="102" spans="2:27" ht="18.75" customHeight="1" x14ac:dyDescent="0.25">
      <c r="B102" s="210"/>
      <c r="C102" s="210"/>
      <c r="D102" s="210"/>
      <c r="E102" s="210"/>
      <c r="F102" s="210"/>
      <c r="G102" s="210"/>
      <c r="H102" s="210"/>
      <c r="I102" s="210"/>
      <c r="J102" s="210"/>
      <c r="K102" s="210"/>
      <c r="L102" s="210"/>
      <c r="M102" s="210"/>
      <c r="N102" s="210"/>
      <c r="O102" s="210"/>
      <c r="P102" s="214"/>
      <c r="Q102" s="210"/>
      <c r="R102" s="210"/>
      <c r="S102" s="210"/>
      <c r="T102" s="210"/>
      <c r="U102" s="210"/>
      <c r="V102" s="210"/>
      <c r="W102" s="210"/>
      <c r="X102" s="210"/>
      <c r="Y102" s="210"/>
      <c r="Z102" s="210"/>
      <c r="AA102" s="210"/>
    </row>
    <row r="103" spans="2:27" ht="18.75" customHeight="1" x14ac:dyDescent="0.25">
      <c r="B103" s="210"/>
      <c r="C103" s="210"/>
      <c r="D103" s="210"/>
      <c r="E103" s="210"/>
      <c r="F103" s="210"/>
      <c r="G103" s="210"/>
      <c r="H103" s="210"/>
      <c r="I103" s="210"/>
      <c r="J103" s="210"/>
      <c r="K103" s="210"/>
      <c r="L103" s="210"/>
      <c r="M103" s="210"/>
      <c r="N103" s="210"/>
      <c r="O103" s="210"/>
      <c r="P103" s="214"/>
      <c r="Q103" s="210"/>
      <c r="R103" s="210"/>
      <c r="S103" s="210"/>
      <c r="T103" s="210"/>
      <c r="U103" s="210"/>
      <c r="V103" s="210"/>
      <c r="W103" s="210"/>
      <c r="X103" s="210"/>
      <c r="Y103" s="210"/>
      <c r="Z103" s="210"/>
      <c r="AA103" s="210"/>
    </row>
    <row r="104" spans="2:27" ht="18.75" customHeight="1" x14ac:dyDescent="0.25">
      <c r="B104" s="210"/>
      <c r="C104" s="210"/>
      <c r="D104" s="210"/>
      <c r="E104" s="210"/>
      <c r="F104" s="210"/>
      <c r="G104" s="210"/>
      <c r="H104" s="210"/>
      <c r="I104" s="210"/>
      <c r="J104" s="210"/>
      <c r="K104" s="210"/>
      <c r="L104" s="210"/>
      <c r="M104" s="210"/>
      <c r="N104" s="210"/>
      <c r="O104" s="210"/>
      <c r="P104" s="214"/>
      <c r="Q104" s="210"/>
      <c r="R104" s="210"/>
      <c r="S104" s="210"/>
      <c r="T104" s="210"/>
      <c r="U104" s="210"/>
      <c r="V104" s="210"/>
      <c r="W104" s="210"/>
      <c r="X104" s="210"/>
      <c r="Y104" s="210"/>
      <c r="Z104" s="210"/>
      <c r="AA104" s="210"/>
    </row>
    <row r="105" spans="2:27" ht="18.75" customHeight="1" x14ac:dyDescent="0.25">
      <c r="B105" s="210"/>
      <c r="C105" s="210"/>
      <c r="D105" s="210"/>
      <c r="E105" s="210"/>
      <c r="F105" s="210"/>
      <c r="G105" s="210"/>
      <c r="H105" s="210"/>
      <c r="I105" s="210"/>
      <c r="J105" s="210"/>
      <c r="K105" s="210"/>
      <c r="L105" s="210"/>
      <c r="M105" s="210"/>
      <c r="N105" s="210"/>
      <c r="O105" s="210"/>
      <c r="P105" s="214"/>
      <c r="Q105" s="210"/>
      <c r="R105" s="210"/>
      <c r="S105" s="210"/>
      <c r="T105" s="210"/>
      <c r="U105" s="210"/>
      <c r="V105" s="210"/>
      <c r="W105" s="210"/>
      <c r="X105" s="210"/>
      <c r="Y105" s="210"/>
      <c r="Z105" s="210"/>
      <c r="AA105" s="210"/>
    </row>
    <row r="106" spans="2:27" ht="18.75" customHeight="1" x14ac:dyDescent="0.25">
      <c r="B106" s="210"/>
      <c r="C106" s="210"/>
      <c r="D106" s="210"/>
      <c r="E106" s="210"/>
      <c r="F106" s="210"/>
      <c r="G106" s="210"/>
      <c r="H106" s="210"/>
      <c r="I106" s="210"/>
      <c r="J106" s="210"/>
      <c r="K106" s="210"/>
      <c r="L106" s="210"/>
      <c r="M106" s="210"/>
      <c r="N106" s="210"/>
      <c r="O106" s="210"/>
      <c r="P106" s="214"/>
      <c r="Q106" s="210"/>
      <c r="R106" s="210"/>
      <c r="S106" s="210"/>
      <c r="T106" s="210"/>
      <c r="U106" s="210"/>
      <c r="V106" s="210"/>
      <c r="W106" s="210"/>
      <c r="X106" s="210"/>
      <c r="Y106" s="210"/>
      <c r="Z106" s="210"/>
      <c r="AA106" s="210"/>
    </row>
    <row r="107" spans="2:27" ht="18.75" customHeight="1" x14ac:dyDescent="0.25">
      <c r="B107" s="210"/>
      <c r="C107" s="210"/>
      <c r="D107" s="210"/>
      <c r="E107" s="210"/>
      <c r="F107" s="210"/>
      <c r="G107" s="210"/>
      <c r="H107" s="210"/>
      <c r="I107" s="210"/>
      <c r="J107" s="210"/>
      <c r="K107" s="210"/>
      <c r="L107" s="210"/>
      <c r="M107" s="210"/>
      <c r="N107" s="210"/>
      <c r="O107" s="210"/>
      <c r="P107" s="214"/>
      <c r="Q107" s="210"/>
      <c r="R107" s="210"/>
      <c r="S107" s="210"/>
      <c r="T107" s="210"/>
      <c r="U107" s="210"/>
      <c r="V107" s="210"/>
      <c r="W107" s="210"/>
      <c r="X107" s="210"/>
      <c r="Y107" s="210"/>
      <c r="Z107" s="210"/>
      <c r="AA107" s="210"/>
    </row>
    <row r="108" spans="2:27" ht="18.75" customHeight="1" x14ac:dyDescent="0.25">
      <c r="B108" s="210"/>
      <c r="C108" s="210"/>
      <c r="D108" s="210"/>
      <c r="E108" s="210"/>
      <c r="F108" s="210"/>
      <c r="G108" s="210"/>
      <c r="H108" s="210"/>
      <c r="I108" s="210"/>
      <c r="J108" s="210"/>
      <c r="K108" s="210"/>
      <c r="L108" s="210"/>
      <c r="M108" s="210"/>
      <c r="N108" s="210"/>
      <c r="O108" s="210"/>
      <c r="P108" s="214"/>
      <c r="Q108" s="210"/>
      <c r="R108" s="210"/>
      <c r="S108" s="210"/>
      <c r="T108" s="210"/>
      <c r="U108" s="210"/>
      <c r="V108" s="210"/>
      <c r="W108" s="210"/>
      <c r="X108" s="210"/>
      <c r="Y108" s="210"/>
      <c r="Z108" s="210"/>
      <c r="AA108" s="210"/>
    </row>
    <row r="109" spans="2:27" ht="18.75" customHeight="1" x14ac:dyDescent="0.25">
      <c r="B109" s="210"/>
      <c r="C109" s="210"/>
      <c r="D109" s="210"/>
      <c r="E109" s="210"/>
      <c r="F109" s="210"/>
      <c r="G109" s="210"/>
      <c r="H109" s="210"/>
      <c r="I109" s="210"/>
      <c r="J109" s="210"/>
      <c r="K109" s="210"/>
      <c r="L109" s="210"/>
      <c r="M109" s="210"/>
      <c r="N109" s="210"/>
      <c r="O109" s="210"/>
      <c r="P109" s="214"/>
      <c r="Q109" s="210"/>
      <c r="R109" s="210"/>
      <c r="S109" s="210"/>
      <c r="T109" s="210"/>
      <c r="U109" s="210"/>
      <c r="V109" s="210"/>
      <c r="W109" s="210"/>
      <c r="X109" s="210"/>
      <c r="Y109" s="210"/>
      <c r="Z109" s="210"/>
      <c r="AA109" s="210"/>
    </row>
    <row r="110" spans="2:27" ht="18.75" customHeight="1" x14ac:dyDescent="0.25">
      <c r="B110" s="210"/>
      <c r="C110" s="210"/>
      <c r="D110" s="210"/>
      <c r="E110" s="210"/>
      <c r="F110" s="210"/>
      <c r="G110" s="210"/>
      <c r="H110" s="210"/>
      <c r="I110" s="210"/>
      <c r="J110" s="210"/>
      <c r="K110" s="210"/>
      <c r="L110" s="210"/>
      <c r="M110" s="210"/>
      <c r="N110" s="210"/>
      <c r="O110" s="210"/>
      <c r="P110" s="214"/>
      <c r="Q110" s="210"/>
      <c r="R110" s="210"/>
      <c r="S110" s="210"/>
      <c r="T110" s="210"/>
      <c r="U110" s="210"/>
      <c r="V110" s="210"/>
      <c r="W110" s="210"/>
      <c r="X110" s="210"/>
      <c r="Y110" s="210"/>
      <c r="Z110" s="210"/>
      <c r="AA110" s="210"/>
    </row>
    <row r="111" spans="2:27" ht="18.75" customHeight="1" x14ac:dyDescent="0.25">
      <c r="B111" s="210"/>
      <c r="C111" s="210"/>
      <c r="D111" s="210"/>
      <c r="E111" s="210"/>
      <c r="F111" s="210"/>
      <c r="G111" s="210"/>
      <c r="H111" s="210"/>
      <c r="I111" s="210"/>
      <c r="J111" s="210"/>
      <c r="K111" s="210"/>
      <c r="L111" s="210"/>
      <c r="M111" s="210"/>
      <c r="N111" s="210"/>
      <c r="O111" s="210"/>
      <c r="P111" s="214"/>
      <c r="Q111" s="210"/>
      <c r="R111" s="210"/>
      <c r="S111" s="210"/>
      <c r="T111" s="210"/>
      <c r="U111" s="210"/>
      <c r="V111" s="210"/>
      <c r="W111" s="210"/>
      <c r="X111" s="210"/>
      <c r="Y111" s="210"/>
      <c r="Z111" s="210"/>
      <c r="AA111" s="210"/>
    </row>
    <row r="112" spans="2:27" ht="18.75" customHeight="1" x14ac:dyDescent="0.25">
      <c r="B112" s="210"/>
      <c r="C112" s="210"/>
      <c r="D112" s="210"/>
      <c r="E112" s="210"/>
      <c r="F112" s="210"/>
      <c r="G112" s="210"/>
      <c r="H112" s="210"/>
      <c r="I112" s="210"/>
      <c r="J112" s="210"/>
      <c r="K112" s="210"/>
      <c r="L112" s="210"/>
      <c r="M112" s="210"/>
      <c r="N112" s="210"/>
      <c r="O112" s="210"/>
      <c r="P112" s="214"/>
      <c r="Q112" s="210"/>
      <c r="R112" s="210"/>
      <c r="S112" s="210"/>
      <c r="T112" s="210"/>
      <c r="U112" s="210"/>
      <c r="V112" s="210"/>
      <c r="W112" s="210"/>
      <c r="X112" s="210"/>
      <c r="Y112" s="210"/>
      <c r="Z112" s="210"/>
      <c r="AA112" s="210"/>
    </row>
    <row r="113" spans="2:27" ht="18.75" customHeight="1" x14ac:dyDescent="0.25">
      <c r="B113" s="210"/>
      <c r="C113" s="210"/>
      <c r="D113" s="210"/>
      <c r="E113" s="210"/>
      <c r="F113" s="210"/>
      <c r="G113" s="210"/>
      <c r="H113" s="210"/>
      <c r="I113" s="210"/>
      <c r="J113" s="210"/>
      <c r="K113" s="210"/>
      <c r="L113" s="210"/>
      <c r="M113" s="210"/>
      <c r="N113" s="210"/>
      <c r="O113" s="210"/>
      <c r="P113" s="214"/>
      <c r="Q113" s="210"/>
      <c r="R113" s="210"/>
      <c r="S113" s="210"/>
      <c r="T113" s="210"/>
      <c r="U113" s="210"/>
      <c r="V113" s="210"/>
      <c r="W113" s="210"/>
      <c r="X113" s="210"/>
      <c r="Y113" s="210"/>
      <c r="Z113" s="210"/>
      <c r="AA113" s="210"/>
    </row>
    <row r="114" spans="2:27" ht="18.75" customHeight="1" x14ac:dyDescent="0.25">
      <c r="B114" s="210"/>
      <c r="C114" s="210"/>
      <c r="D114" s="210"/>
      <c r="E114" s="210"/>
      <c r="F114" s="210"/>
      <c r="G114" s="210"/>
      <c r="H114" s="210"/>
      <c r="I114" s="210"/>
      <c r="J114" s="210"/>
      <c r="K114" s="210"/>
      <c r="L114" s="210"/>
      <c r="M114" s="210"/>
      <c r="N114" s="210"/>
      <c r="O114" s="210"/>
      <c r="P114" s="214"/>
      <c r="Q114" s="210"/>
      <c r="R114" s="210"/>
      <c r="S114" s="210"/>
      <c r="T114" s="210"/>
      <c r="U114" s="210"/>
      <c r="V114" s="210"/>
      <c r="W114" s="210"/>
      <c r="X114" s="210"/>
      <c r="Y114" s="210"/>
      <c r="Z114" s="210"/>
      <c r="AA114" s="210"/>
    </row>
    <row r="115" spans="2:27" ht="18.75" customHeight="1" x14ac:dyDescent="0.25">
      <c r="B115" s="210"/>
      <c r="C115" s="210"/>
      <c r="D115" s="210"/>
      <c r="E115" s="210"/>
      <c r="F115" s="210"/>
      <c r="G115" s="210"/>
      <c r="H115" s="210"/>
      <c r="I115" s="210"/>
      <c r="J115" s="210"/>
      <c r="K115" s="210"/>
      <c r="L115" s="210"/>
      <c r="M115" s="210"/>
      <c r="N115" s="210"/>
      <c r="O115" s="210"/>
      <c r="P115" s="214"/>
      <c r="Q115" s="210"/>
      <c r="R115" s="210"/>
      <c r="S115" s="210"/>
      <c r="T115" s="210"/>
      <c r="U115" s="210"/>
      <c r="V115" s="210"/>
      <c r="W115" s="210"/>
      <c r="X115" s="210"/>
      <c r="Y115" s="210"/>
      <c r="Z115" s="210"/>
      <c r="AA115" s="210"/>
    </row>
    <row r="116" spans="2:27" ht="18.75" customHeight="1" x14ac:dyDescent="0.25">
      <c r="B116" s="210"/>
      <c r="C116" s="210"/>
      <c r="D116" s="210"/>
      <c r="E116" s="210"/>
      <c r="F116" s="210"/>
      <c r="G116" s="210"/>
      <c r="H116" s="210"/>
      <c r="I116" s="210"/>
      <c r="J116" s="210"/>
      <c r="K116" s="210"/>
      <c r="L116" s="210"/>
      <c r="M116" s="210"/>
      <c r="N116" s="210"/>
      <c r="O116" s="210"/>
      <c r="P116" s="214"/>
      <c r="Q116" s="210"/>
      <c r="R116" s="210"/>
      <c r="S116" s="210"/>
      <c r="T116" s="210"/>
      <c r="U116" s="210"/>
      <c r="V116" s="210"/>
      <c r="W116" s="210"/>
      <c r="X116" s="210"/>
      <c r="Y116" s="210"/>
      <c r="Z116" s="210"/>
      <c r="AA116" s="210"/>
    </row>
    <row r="117" spans="2:27" ht="18.75" customHeight="1" x14ac:dyDescent="0.25">
      <c r="B117" s="210"/>
      <c r="C117" s="210"/>
      <c r="D117" s="210"/>
      <c r="E117" s="210"/>
      <c r="F117" s="210"/>
      <c r="G117" s="210"/>
      <c r="H117" s="210"/>
      <c r="I117" s="210"/>
      <c r="J117" s="210"/>
      <c r="K117" s="210"/>
      <c r="L117" s="210"/>
      <c r="M117" s="210"/>
      <c r="N117" s="210"/>
      <c r="O117" s="210"/>
      <c r="P117" s="214"/>
      <c r="Q117" s="210"/>
      <c r="R117" s="210"/>
      <c r="S117" s="210"/>
      <c r="T117" s="210"/>
      <c r="U117" s="210"/>
      <c r="V117" s="210"/>
      <c r="W117" s="210"/>
      <c r="X117" s="210"/>
      <c r="Y117" s="210"/>
      <c r="Z117" s="210"/>
      <c r="AA117" s="210"/>
    </row>
    <row r="118" spans="2:27" ht="18.75" customHeight="1" x14ac:dyDescent="0.25">
      <c r="B118" s="210"/>
      <c r="C118" s="210"/>
      <c r="D118" s="210"/>
      <c r="E118" s="210"/>
      <c r="F118" s="210"/>
      <c r="G118" s="210"/>
      <c r="H118" s="210"/>
      <c r="I118" s="210"/>
      <c r="J118" s="210"/>
      <c r="K118" s="210"/>
      <c r="L118" s="210"/>
      <c r="M118" s="210"/>
      <c r="N118" s="210"/>
      <c r="O118" s="210"/>
      <c r="P118" s="214"/>
      <c r="Q118" s="210"/>
      <c r="R118" s="210"/>
      <c r="S118" s="210"/>
      <c r="T118" s="210"/>
      <c r="U118" s="210"/>
      <c r="V118" s="210"/>
      <c r="W118" s="210"/>
      <c r="X118" s="210"/>
      <c r="Y118" s="210"/>
      <c r="Z118" s="210"/>
      <c r="AA118" s="210"/>
    </row>
    <row r="119" spans="2:27" ht="18.75" customHeight="1" x14ac:dyDescent="0.25">
      <c r="B119" s="210"/>
      <c r="C119" s="210"/>
      <c r="D119" s="210"/>
      <c r="E119" s="210"/>
      <c r="F119" s="210"/>
      <c r="G119" s="210"/>
      <c r="H119" s="210"/>
      <c r="I119" s="210"/>
      <c r="J119" s="210"/>
      <c r="K119" s="210"/>
      <c r="L119" s="210"/>
      <c r="M119" s="210"/>
      <c r="N119" s="210"/>
      <c r="O119" s="210"/>
      <c r="P119" s="214"/>
      <c r="Q119" s="210"/>
      <c r="R119" s="210"/>
      <c r="S119" s="210"/>
      <c r="T119" s="210"/>
      <c r="U119" s="210"/>
      <c r="V119" s="210"/>
      <c r="W119" s="210"/>
      <c r="X119" s="210"/>
      <c r="Y119" s="210"/>
      <c r="Z119" s="210"/>
      <c r="AA119" s="210"/>
    </row>
    <row r="120" spans="2:27" ht="18.75" customHeight="1" x14ac:dyDescent="0.25">
      <c r="B120" s="210"/>
      <c r="C120" s="210"/>
      <c r="D120" s="210"/>
      <c r="E120" s="210"/>
      <c r="F120" s="210"/>
      <c r="G120" s="210"/>
      <c r="H120" s="210"/>
      <c r="I120" s="210"/>
      <c r="J120" s="210"/>
      <c r="K120" s="210"/>
      <c r="L120" s="210"/>
      <c r="M120" s="210"/>
      <c r="N120" s="210"/>
      <c r="O120" s="210"/>
      <c r="P120" s="214"/>
      <c r="Q120" s="210"/>
      <c r="R120" s="210"/>
      <c r="S120" s="210"/>
      <c r="T120" s="210"/>
      <c r="U120" s="210"/>
      <c r="V120" s="210"/>
      <c r="W120" s="210"/>
      <c r="X120" s="210"/>
      <c r="Y120" s="210"/>
      <c r="Z120" s="210"/>
      <c r="AA120" s="210"/>
    </row>
    <row r="121" spans="2:27" ht="18.75" customHeight="1" x14ac:dyDescent="0.25">
      <c r="B121" s="210"/>
      <c r="C121" s="210"/>
      <c r="D121" s="210"/>
      <c r="E121" s="210"/>
      <c r="F121" s="210"/>
      <c r="G121" s="210"/>
      <c r="H121" s="210"/>
      <c r="I121" s="210"/>
      <c r="J121" s="210"/>
      <c r="K121" s="210"/>
      <c r="L121" s="210"/>
      <c r="M121" s="210"/>
      <c r="N121" s="210"/>
      <c r="O121" s="210"/>
      <c r="P121" s="214"/>
      <c r="Q121" s="210"/>
      <c r="R121" s="210"/>
      <c r="S121" s="210"/>
      <c r="T121" s="210"/>
      <c r="U121" s="210"/>
      <c r="V121" s="210"/>
      <c r="W121" s="210"/>
      <c r="X121" s="210"/>
      <c r="Y121" s="210"/>
      <c r="Z121" s="210"/>
      <c r="AA121" s="210"/>
    </row>
    <row r="122" spans="2:27" ht="18.75" customHeight="1" x14ac:dyDescent="0.25">
      <c r="B122" s="210"/>
      <c r="C122" s="210"/>
      <c r="D122" s="210"/>
      <c r="E122" s="210"/>
      <c r="F122" s="210"/>
      <c r="G122" s="210"/>
      <c r="H122" s="210"/>
      <c r="I122" s="210"/>
      <c r="J122" s="210"/>
      <c r="K122" s="210"/>
      <c r="L122" s="210"/>
      <c r="M122" s="210"/>
      <c r="N122" s="210"/>
      <c r="O122" s="210"/>
      <c r="P122" s="214"/>
      <c r="Q122" s="210"/>
      <c r="R122" s="210"/>
      <c r="S122" s="210"/>
      <c r="T122" s="210"/>
      <c r="U122" s="210"/>
      <c r="V122" s="210"/>
      <c r="W122" s="210"/>
      <c r="X122" s="210"/>
      <c r="Y122" s="210"/>
      <c r="Z122" s="210"/>
      <c r="AA122" s="210"/>
    </row>
    <row r="123" spans="2:27" ht="18.75" customHeight="1" x14ac:dyDescent="0.25">
      <c r="B123" s="210"/>
      <c r="C123" s="210"/>
      <c r="D123" s="210"/>
      <c r="E123" s="210"/>
      <c r="F123" s="210"/>
      <c r="G123" s="210"/>
      <c r="H123" s="210"/>
      <c r="I123" s="210"/>
      <c r="J123" s="210"/>
      <c r="K123" s="210"/>
      <c r="L123" s="210"/>
      <c r="M123" s="210"/>
      <c r="N123" s="210"/>
      <c r="O123" s="210"/>
      <c r="P123" s="214"/>
      <c r="Q123" s="210"/>
      <c r="R123" s="210"/>
      <c r="S123" s="210"/>
      <c r="T123" s="210"/>
      <c r="U123" s="210"/>
      <c r="V123" s="210"/>
      <c r="W123" s="210"/>
      <c r="X123" s="210"/>
      <c r="Y123" s="210"/>
      <c r="Z123" s="210"/>
      <c r="AA123" s="210"/>
    </row>
    <row r="124" spans="2:27" ht="18.75" customHeight="1" x14ac:dyDescent="0.25">
      <c r="B124" s="210"/>
      <c r="C124" s="210"/>
      <c r="D124" s="210"/>
      <c r="E124" s="210"/>
      <c r="F124" s="210"/>
      <c r="G124" s="210"/>
      <c r="H124" s="210"/>
      <c r="I124" s="210"/>
      <c r="J124" s="210"/>
      <c r="K124" s="210"/>
      <c r="L124" s="210"/>
      <c r="M124" s="210"/>
      <c r="N124" s="210"/>
      <c r="O124" s="210"/>
      <c r="P124" s="214"/>
      <c r="Q124" s="210"/>
      <c r="R124" s="210"/>
      <c r="S124" s="210"/>
      <c r="T124" s="210"/>
      <c r="U124" s="210"/>
      <c r="V124" s="210"/>
      <c r="W124" s="210"/>
      <c r="X124" s="210"/>
      <c r="Y124" s="210"/>
      <c r="Z124" s="210"/>
      <c r="AA124" s="210"/>
    </row>
    <row r="125" spans="2:27" ht="18.75" customHeight="1" x14ac:dyDescent="0.25">
      <c r="B125" s="210"/>
      <c r="C125" s="210"/>
      <c r="D125" s="210"/>
      <c r="E125" s="210"/>
      <c r="F125" s="210"/>
      <c r="G125" s="210"/>
      <c r="H125" s="210"/>
      <c r="I125" s="210"/>
      <c r="J125" s="210"/>
      <c r="K125" s="210"/>
      <c r="L125" s="210"/>
      <c r="M125" s="210"/>
      <c r="N125" s="210"/>
      <c r="O125" s="210"/>
      <c r="P125" s="214"/>
      <c r="Q125" s="210"/>
      <c r="R125" s="210"/>
      <c r="S125" s="210"/>
      <c r="T125" s="210"/>
      <c r="U125" s="210"/>
      <c r="V125" s="210"/>
      <c r="W125" s="210"/>
      <c r="X125" s="210"/>
      <c r="Y125" s="210"/>
      <c r="Z125" s="210"/>
      <c r="AA125" s="210"/>
    </row>
    <row r="126" spans="2:27" ht="18.75" customHeight="1" x14ac:dyDescent="0.25">
      <c r="B126" s="210"/>
      <c r="C126" s="210"/>
      <c r="D126" s="210"/>
      <c r="E126" s="210"/>
      <c r="F126" s="210"/>
      <c r="G126" s="210"/>
      <c r="H126" s="210"/>
      <c r="I126" s="210"/>
      <c r="J126" s="210"/>
      <c r="K126" s="210"/>
      <c r="L126" s="210"/>
      <c r="M126" s="210"/>
      <c r="N126" s="210"/>
      <c r="O126" s="210"/>
      <c r="P126" s="214"/>
      <c r="Q126" s="210"/>
      <c r="R126" s="210"/>
      <c r="S126" s="210"/>
      <c r="T126" s="210"/>
      <c r="U126" s="210"/>
      <c r="V126" s="210"/>
      <c r="W126" s="210"/>
      <c r="X126" s="210"/>
      <c r="Y126" s="210"/>
      <c r="Z126" s="210"/>
      <c r="AA126" s="210"/>
    </row>
    <row r="127" spans="2:27" ht="18.75" customHeight="1" x14ac:dyDescent="0.25">
      <c r="B127" s="210"/>
      <c r="C127" s="210"/>
      <c r="D127" s="210"/>
      <c r="E127" s="210"/>
      <c r="F127" s="210"/>
      <c r="G127" s="210"/>
      <c r="H127" s="210"/>
      <c r="I127" s="210"/>
      <c r="J127" s="210"/>
      <c r="K127" s="210"/>
      <c r="L127" s="210"/>
      <c r="M127" s="210"/>
      <c r="N127" s="210"/>
      <c r="O127" s="210"/>
      <c r="P127" s="214"/>
      <c r="Q127" s="210"/>
      <c r="R127" s="210"/>
      <c r="S127" s="210"/>
      <c r="T127" s="210"/>
      <c r="U127" s="210"/>
      <c r="V127" s="210"/>
      <c r="W127" s="210"/>
      <c r="X127" s="210"/>
      <c r="Y127" s="210"/>
      <c r="Z127" s="210"/>
      <c r="AA127" s="210"/>
    </row>
    <row r="128" spans="2:27" ht="18.75" customHeight="1" x14ac:dyDescent="0.25">
      <c r="B128" s="210"/>
      <c r="C128" s="210"/>
      <c r="D128" s="210"/>
      <c r="E128" s="210"/>
      <c r="F128" s="210"/>
      <c r="G128" s="210"/>
      <c r="H128" s="210"/>
      <c r="I128" s="210"/>
      <c r="J128" s="210"/>
      <c r="K128" s="210"/>
      <c r="L128" s="210"/>
      <c r="M128" s="210"/>
      <c r="N128" s="210"/>
      <c r="O128" s="210"/>
      <c r="P128" s="214"/>
      <c r="Q128" s="210"/>
      <c r="R128" s="210"/>
      <c r="S128" s="210"/>
      <c r="T128" s="210"/>
      <c r="U128" s="210"/>
      <c r="V128" s="210"/>
      <c r="W128" s="210"/>
      <c r="X128" s="210"/>
      <c r="Y128" s="210"/>
      <c r="Z128" s="210"/>
      <c r="AA128" s="210"/>
    </row>
    <row r="129" spans="2:27" ht="18.75" customHeight="1" x14ac:dyDescent="0.25">
      <c r="B129" s="210"/>
      <c r="C129" s="210"/>
      <c r="D129" s="210"/>
      <c r="E129" s="210"/>
      <c r="F129" s="210"/>
      <c r="G129" s="210"/>
      <c r="H129" s="210"/>
      <c r="I129" s="210"/>
      <c r="J129" s="210"/>
      <c r="K129" s="210"/>
      <c r="L129" s="210"/>
      <c r="M129" s="210"/>
      <c r="N129" s="210"/>
      <c r="O129" s="210"/>
      <c r="P129" s="214"/>
      <c r="Q129" s="210"/>
      <c r="R129" s="210"/>
      <c r="S129" s="210"/>
      <c r="T129" s="210"/>
      <c r="U129" s="210"/>
      <c r="V129" s="210"/>
      <c r="W129" s="210"/>
      <c r="X129" s="210"/>
      <c r="Y129" s="210"/>
      <c r="Z129" s="210"/>
      <c r="AA129" s="210"/>
    </row>
    <row r="130" spans="2:27" ht="18.75" customHeight="1" x14ac:dyDescent="0.25">
      <c r="B130" s="210"/>
      <c r="C130" s="210"/>
      <c r="D130" s="210"/>
      <c r="E130" s="210"/>
      <c r="F130" s="210"/>
      <c r="G130" s="210"/>
      <c r="H130" s="210"/>
      <c r="I130" s="210"/>
      <c r="J130" s="210"/>
      <c r="K130" s="210"/>
      <c r="L130" s="210"/>
      <c r="M130" s="210"/>
      <c r="N130" s="210"/>
      <c r="O130" s="210"/>
      <c r="P130" s="214"/>
      <c r="Q130" s="210"/>
      <c r="R130" s="210"/>
      <c r="S130" s="210"/>
      <c r="T130" s="210"/>
      <c r="U130" s="210"/>
      <c r="V130" s="210"/>
      <c r="W130" s="210"/>
      <c r="X130" s="210"/>
      <c r="Y130" s="210"/>
      <c r="Z130" s="210"/>
      <c r="AA130" s="210"/>
    </row>
    <row r="131" spans="2:27" ht="18.75" customHeight="1" x14ac:dyDescent="0.25">
      <c r="B131" s="210"/>
      <c r="C131" s="210"/>
      <c r="D131" s="210"/>
      <c r="E131" s="210"/>
      <c r="F131" s="210"/>
      <c r="G131" s="210"/>
      <c r="H131" s="210"/>
      <c r="I131" s="210"/>
      <c r="J131" s="210"/>
      <c r="K131" s="210"/>
      <c r="L131" s="210"/>
      <c r="M131" s="210"/>
      <c r="N131" s="210"/>
      <c r="O131" s="210"/>
      <c r="P131" s="214"/>
      <c r="Q131" s="210"/>
      <c r="R131" s="210"/>
      <c r="S131" s="210"/>
      <c r="T131" s="210"/>
      <c r="U131" s="210"/>
      <c r="V131" s="210"/>
      <c r="W131" s="210"/>
      <c r="X131" s="210"/>
      <c r="Y131" s="210"/>
      <c r="Z131" s="210"/>
      <c r="AA131" s="210"/>
    </row>
    <row r="132" spans="2:27" ht="18.75" customHeight="1" x14ac:dyDescent="0.25">
      <c r="B132" s="210"/>
      <c r="C132" s="210"/>
      <c r="D132" s="210"/>
      <c r="E132" s="210"/>
      <c r="F132" s="210"/>
      <c r="G132" s="210"/>
      <c r="H132" s="210"/>
      <c r="I132" s="210"/>
      <c r="J132" s="210"/>
      <c r="K132" s="210"/>
      <c r="L132" s="210"/>
      <c r="M132" s="210"/>
      <c r="N132" s="210"/>
      <c r="O132" s="210"/>
      <c r="P132" s="214"/>
      <c r="Q132" s="210"/>
      <c r="R132" s="210"/>
      <c r="S132" s="210"/>
      <c r="T132" s="210"/>
      <c r="U132" s="210"/>
      <c r="V132" s="210"/>
      <c r="W132" s="210"/>
      <c r="X132" s="210"/>
      <c r="Y132" s="210"/>
      <c r="Z132" s="210"/>
      <c r="AA132" s="210"/>
    </row>
    <row r="133" spans="2:27" ht="18.75" customHeight="1" x14ac:dyDescent="0.25">
      <c r="B133" s="210"/>
      <c r="C133" s="210"/>
      <c r="D133" s="210"/>
      <c r="E133" s="210"/>
      <c r="F133" s="210"/>
      <c r="G133" s="210"/>
      <c r="H133" s="210"/>
      <c r="I133" s="210"/>
      <c r="J133" s="210"/>
      <c r="K133" s="210"/>
      <c r="L133" s="210"/>
      <c r="M133" s="210"/>
      <c r="N133" s="210"/>
      <c r="O133" s="210"/>
      <c r="P133" s="214"/>
      <c r="Q133" s="210"/>
      <c r="R133" s="210"/>
      <c r="S133" s="210"/>
      <c r="T133" s="210"/>
      <c r="U133" s="210"/>
      <c r="V133" s="210"/>
      <c r="W133" s="210"/>
      <c r="X133" s="210"/>
      <c r="Y133" s="210"/>
      <c r="Z133" s="210"/>
      <c r="AA133" s="210"/>
    </row>
    <row r="134" spans="2:27" ht="18.75" customHeight="1" x14ac:dyDescent="0.25">
      <c r="B134" s="210"/>
      <c r="C134" s="210"/>
      <c r="D134" s="210"/>
      <c r="E134" s="210"/>
      <c r="F134" s="210"/>
      <c r="G134" s="210"/>
      <c r="H134" s="210"/>
      <c r="I134" s="210"/>
      <c r="J134" s="210"/>
      <c r="K134" s="210"/>
      <c r="L134" s="210"/>
      <c r="M134" s="210"/>
      <c r="N134" s="210"/>
      <c r="O134" s="210"/>
      <c r="P134" s="214"/>
      <c r="Q134" s="210"/>
      <c r="R134" s="210"/>
      <c r="S134" s="210"/>
      <c r="T134" s="210"/>
      <c r="U134" s="210"/>
      <c r="V134" s="210"/>
      <c r="W134" s="210"/>
      <c r="X134" s="210"/>
      <c r="Y134" s="210"/>
      <c r="Z134" s="210"/>
      <c r="AA134" s="210"/>
    </row>
    <row r="135" spans="2:27" ht="18.75" customHeight="1" x14ac:dyDescent="0.25">
      <c r="B135" s="210"/>
      <c r="C135" s="210"/>
      <c r="D135" s="210"/>
      <c r="E135" s="210"/>
      <c r="F135" s="210"/>
      <c r="G135" s="210"/>
      <c r="H135" s="210"/>
      <c r="I135" s="210"/>
      <c r="J135" s="210"/>
      <c r="K135" s="210"/>
      <c r="L135" s="210"/>
      <c r="M135" s="210"/>
      <c r="N135" s="210"/>
      <c r="O135" s="210"/>
      <c r="P135" s="214"/>
      <c r="Q135" s="210"/>
      <c r="R135" s="210"/>
      <c r="S135" s="210"/>
      <c r="T135" s="210"/>
      <c r="U135" s="210"/>
      <c r="V135" s="210"/>
      <c r="W135" s="210"/>
      <c r="X135" s="210"/>
      <c r="Y135" s="210"/>
      <c r="Z135" s="210"/>
      <c r="AA135" s="210"/>
    </row>
    <row r="136" spans="2:27" ht="18.75" customHeight="1" x14ac:dyDescent="0.25">
      <c r="B136" s="210"/>
      <c r="C136" s="210"/>
      <c r="D136" s="210"/>
      <c r="E136" s="210"/>
      <c r="F136" s="210"/>
      <c r="G136" s="210"/>
      <c r="H136" s="210"/>
      <c r="I136" s="210"/>
      <c r="J136" s="210"/>
      <c r="K136" s="210"/>
      <c r="L136" s="210"/>
      <c r="M136" s="210"/>
      <c r="N136" s="210"/>
      <c r="O136" s="210"/>
      <c r="P136" s="214"/>
      <c r="Q136" s="210"/>
      <c r="R136" s="210"/>
      <c r="S136" s="210"/>
      <c r="T136" s="210"/>
      <c r="U136" s="210"/>
      <c r="V136" s="210"/>
      <c r="W136" s="210"/>
      <c r="X136" s="210"/>
      <c r="Y136" s="210"/>
      <c r="Z136" s="210"/>
      <c r="AA136" s="210"/>
    </row>
    <row r="137" spans="2:27" ht="18.75" customHeight="1" x14ac:dyDescent="0.25">
      <c r="B137" s="210"/>
      <c r="C137" s="210"/>
      <c r="D137" s="210"/>
      <c r="E137" s="210"/>
      <c r="F137" s="210"/>
      <c r="G137" s="210"/>
      <c r="H137" s="210"/>
      <c r="I137" s="210"/>
      <c r="J137" s="210"/>
      <c r="K137" s="210"/>
      <c r="L137" s="210"/>
      <c r="M137" s="210"/>
      <c r="N137" s="210"/>
      <c r="O137" s="210"/>
      <c r="P137" s="214"/>
      <c r="Q137" s="210"/>
      <c r="R137" s="210"/>
      <c r="S137" s="210"/>
      <c r="T137" s="210"/>
      <c r="U137" s="210"/>
      <c r="V137" s="210"/>
      <c r="W137" s="210"/>
      <c r="X137" s="210"/>
      <c r="Y137" s="210"/>
      <c r="Z137" s="210"/>
      <c r="AA137" s="210"/>
    </row>
    <row r="138" spans="2:27" ht="18.75" customHeight="1" x14ac:dyDescent="0.25">
      <c r="B138" s="210"/>
      <c r="C138" s="210"/>
      <c r="D138" s="210"/>
      <c r="E138" s="210"/>
      <c r="F138" s="210"/>
      <c r="G138" s="210"/>
      <c r="H138" s="210"/>
      <c r="I138" s="210"/>
      <c r="J138" s="210"/>
      <c r="K138" s="210"/>
      <c r="L138" s="210"/>
      <c r="M138" s="210"/>
      <c r="N138" s="210"/>
      <c r="O138" s="210"/>
      <c r="P138" s="214"/>
      <c r="Q138" s="210"/>
      <c r="R138" s="210"/>
      <c r="S138" s="210"/>
      <c r="T138" s="210"/>
      <c r="U138" s="210"/>
      <c r="V138" s="210"/>
      <c r="W138" s="210"/>
      <c r="X138" s="210"/>
      <c r="Y138" s="210"/>
      <c r="Z138" s="210"/>
      <c r="AA138" s="210"/>
    </row>
    <row r="139" spans="2:27" ht="18.75" customHeight="1" x14ac:dyDescent="0.25">
      <c r="B139" s="210"/>
      <c r="C139" s="210"/>
      <c r="D139" s="210"/>
      <c r="E139" s="210"/>
      <c r="F139" s="210"/>
      <c r="G139" s="210"/>
      <c r="H139" s="210"/>
      <c r="I139" s="210"/>
      <c r="J139" s="210"/>
      <c r="K139" s="210"/>
      <c r="L139" s="210"/>
      <c r="M139" s="210"/>
      <c r="N139" s="210"/>
      <c r="O139" s="210"/>
      <c r="P139" s="214"/>
      <c r="Q139" s="210"/>
      <c r="R139" s="210"/>
      <c r="S139" s="210"/>
      <c r="T139" s="210"/>
      <c r="U139" s="210"/>
      <c r="V139" s="210"/>
      <c r="W139" s="210"/>
      <c r="X139" s="210"/>
      <c r="Y139" s="210"/>
      <c r="Z139" s="210"/>
      <c r="AA139" s="210"/>
    </row>
    <row r="140" spans="2:27" ht="18.75" customHeight="1" x14ac:dyDescent="0.25">
      <c r="B140" s="210"/>
      <c r="C140" s="210"/>
      <c r="D140" s="210"/>
      <c r="E140" s="210"/>
      <c r="F140" s="210"/>
      <c r="G140" s="210"/>
      <c r="H140" s="210"/>
      <c r="I140" s="210"/>
      <c r="J140" s="210"/>
      <c r="K140" s="210"/>
      <c r="L140" s="210"/>
      <c r="M140" s="210"/>
      <c r="N140" s="210"/>
      <c r="O140" s="210"/>
      <c r="P140" s="214"/>
      <c r="Q140" s="210"/>
      <c r="R140" s="210"/>
      <c r="S140" s="210"/>
      <c r="T140" s="210"/>
      <c r="U140" s="210"/>
      <c r="V140" s="210"/>
      <c r="W140" s="210"/>
      <c r="X140" s="210"/>
      <c r="Y140" s="210"/>
      <c r="Z140" s="210"/>
      <c r="AA140" s="210"/>
    </row>
    <row r="141" spans="2:27" ht="18.75" customHeight="1" x14ac:dyDescent="0.25">
      <c r="B141" s="210"/>
      <c r="C141" s="210"/>
      <c r="D141" s="210"/>
      <c r="E141" s="210"/>
      <c r="F141" s="210"/>
      <c r="G141" s="210"/>
      <c r="H141" s="210"/>
      <c r="I141" s="210"/>
      <c r="J141" s="210"/>
      <c r="K141" s="210"/>
      <c r="L141" s="210"/>
      <c r="M141" s="210"/>
      <c r="N141" s="210"/>
      <c r="O141" s="210"/>
      <c r="P141" s="214"/>
      <c r="Q141" s="210"/>
      <c r="R141" s="210"/>
      <c r="S141" s="210"/>
      <c r="T141" s="210"/>
      <c r="U141" s="210"/>
      <c r="V141" s="210"/>
      <c r="W141" s="210"/>
      <c r="X141" s="210"/>
      <c r="Y141" s="210"/>
      <c r="Z141" s="210"/>
      <c r="AA141" s="210"/>
    </row>
    <row r="142" spans="2:27" ht="18.75" customHeight="1" x14ac:dyDescent="0.25">
      <c r="B142" s="210"/>
      <c r="C142" s="210"/>
      <c r="D142" s="210"/>
      <c r="E142" s="210"/>
      <c r="F142" s="210"/>
      <c r="G142" s="210"/>
      <c r="H142" s="210"/>
      <c r="I142" s="210"/>
      <c r="J142" s="210"/>
      <c r="K142" s="210"/>
      <c r="L142" s="210"/>
      <c r="M142" s="210"/>
      <c r="N142" s="210"/>
      <c r="O142" s="210"/>
      <c r="P142" s="214"/>
      <c r="Q142" s="210"/>
      <c r="R142" s="210"/>
      <c r="S142" s="210"/>
      <c r="T142" s="210"/>
      <c r="U142" s="210"/>
      <c r="V142" s="210"/>
      <c r="W142" s="210"/>
      <c r="X142" s="210"/>
      <c r="Y142" s="210"/>
      <c r="Z142" s="210"/>
      <c r="AA142" s="210"/>
    </row>
    <row r="143" spans="2:27" ht="18.75" customHeight="1" x14ac:dyDescent="0.25">
      <c r="B143" s="210"/>
      <c r="C143" s="210"/>
      <c r="D143" s="210"/>
      <c r="E143" s="210"/>
      <c r="F143" s="210"/>
      <c r="G143" s="210"/>
      <c r="H143" s="210"/>
      <c r="I143" s="210"/>
      <c r="J143" s="210"/>
      <c r="K143" s="210"/>
      <c r="L143" s="210"/>
      <c r="M143" s="210"/>
      <c r="N143" s="210"/>
      <c r="O143" s="210"/>
      <c r="P143" s="214"/>
      <c r="Q143" s="210"/>
      <c r="R143" s="210"/>
      <c r="S143" s="210"/>
      <c r="T143" s="210"/>
      <c r="U143" s="210"/>
      <c r="V143" s="210"/>
      <c r="W143" s="210"/>
      <c r="X143" s="210"/>
      <c r="Y143" s="210"/>
      <c r="Z143" s="210"/>
      <c r="AA143" s="210"/>
    </row>
    <row r="144" spans="2:27" ht="18.75" customHeight="1" x14ac:dyDescent="0.25">
      <c r="B144" s="210"/>
      <c r="C144" s="210"/>
      <c r="D144" s="210"/>
      <c r="E144" s="210"/>
      <c r="F144" s="210"/>
      <c r="G144" s="210"/>
      <c r="H144" s="210"/>
      <c r="I144" s="210"/>
      <c r="J144" s="210"/>
      <c r="K144" s="210"/>
      <c r="L144" s="210"/>
      <c r="M144" s="210"/>
      <c r="N144" s="210"/>
      <c r="O144" s="210"/>
      <c r="P144" s="214"/>
      <c r="Q144" s="210"/>
      <c r="R144" s="210"/>
      <c r="S144" s="210"/>
      <c r="T144" s="210"/>
      <c r="U144" s="210"/>
      <c r="V144" s="210"/>
      <c r="W144" s="210"/>
      <c r="X144" s="210"/>
      <c r="Y144" s="210"/>
      <c r="Z144" s="210"/>
      <c r="AA144" s="210"/>
    </row>
    <row r="145" spans="2:27" ht="18.75" customHeight="1" x14ac:dyDescent="0.25">
      <c r="B145" s="210"/>
      <c r="C145" s="210"/>
      <c r="D145" s="210"/>
      <c r="E145" s="210"/>
      <c r="F145" s="210"/>
      <c r="G145" s="210"/>
      <c r="H145" s="210"/>
      <c r="I145" s="210"/>
      <c r="J145" s="210"/>
      <c r="K145" s="210"/>
      <c r="L145" s="210"/>
      <c r="M145" s="210"/>
      <c r="N145" s="210"/>
      <c r="O145" s="210"/>
      <c r="P145" s="214"/>
      <c r="Q145" s="210"/>
      <c r="R145" s="210"/>
      <c r="S145" s="210"/>
      <c r="T145" s="210"/>
      <c r="U145" s="210"/>
      <c r="V145" s="210"/>
      <c r="W145" s="210"/>
      <c r="X145" s="210"/>
      <c r="Y145" s="210"/>
      <c r="Z145" s="210"/>
      <c r="AA145" s="210"/>
    </row>
    <row r="146" spans="2:27" ht="18.75" customHeight="1" x14ac:dyDescent="0.25">
      <c r="B146" s="210"/>
      <c r="C146" s="210"/>
      <c r="D146" s="210"/>
      <c r="E146" s="210"/>
      <c r="F146" s="210"/>
      <c r="G146" s="210"/>
      <c r="H146" s="210"/>
      <c r="I146" s="210"/>
      <c r="J146" s="210"/>
      <c r="K146" s="210"/>
      <c r="L146" s="210"/>
      <c r="M146" s="210"/>
      <c r="N146" s="210"/>
      <c r="O146" s="210"/>
      <c r="P146" s="214"/>
      <c r="Q146" s="210"/>
      <c r="R146" s="210"/>
      <c r="S146" s="210"/>
      <c r="T146" s="210"/>
      <c r="U146" s="210"/>
      <c r="V146" s="210"/>
      <c r="W146" s="210"/>
      <c r="X146" s="210"/>
      <c r="Y146" s="210"/>
      <c r="Z146" s="210"/>
      <c r="AA146" s="210"/>
    </row>
    <row r="147" spans="2:27" ht="18.75" customHeight="1" x14ac:dyDescent="0.25">
      <c r="B147" s="210"/>
      <c r="C147" s="210"/>
      <c r="D147" s="210"/>
      <c r="E147" s="210"/>
      <c r="F147" s="210"/>
      <c r="G147" s="210"/>
      <c r="H147" s="210"/>
      <c r="I147" s="210"/>
      <c r="J147" s="210"/>
      <c r="K147" s="210"/>
      <c r="L147" s="210"/>
      <c r="M147" s="210"/>
      <c r="N147" s="210"/>
      <c r="O147" s="210"/>
      <c r="P147" s="214"/>
      <c r="Q147" s="210"/>
      <c r="R147" s="210"/>
      <c r="S147" s="210"/>
      <c r="T147" s="210"/>
      <c r="U147" s="210"/>
      <c r="V147" s="210"/>
      <c r="W147" s="210"/>
      <c r="X147" s="210"/>
      <c r="Y147" s="210"/>
      <c r="Z147" s="210"/>
      <c r="AA147" s="210"/>
    </row>
    <row r="148" spans="2:27" ht="18.75" customHeight="1" x14ac:dyDescent="0.25">
      <c r="B148" s="210"/>
      <c r="C148" s="210"/>
      <c r="D148" s="210"/>
      <c r="E148" s="210"/>
      <c r="F148" s="210"/>
      <c r="G148" s="210"/>
      <c r="H148" s="210"/>
      <c r="I148" s="210"/>
      <c r="J148" s="210"/>
      <c r="K148" s="210"/>
      <c r="L148" s="210"/>
      <c r="M148" s="210"/>
      <c r="N148" s="210"/>
      <c r="O148" s="210"/>
      <c r="P148" s="214"/>
      <c r="Q148" s="210"/>
      <c r="R148" s="210"/>
      <c r="S148" s="210"/>
      <c r="T148" s="210"/>
      <c r="U148" s="210"/>
      <c r="V148" s="210"/>
      <c r="W148" s="210"/>
      <c r="X148" s="210"/>
      <c r="Y148" s="210"/>
      <c r="Z148" s="210"/>
      <c r="AA148" s="210"/>
    </row>
    <row r="149" spans="2:27" ht="18.75" customHeight="1" x14ac:dyDescent="0.25">
      <c r="B149" s="210"/>
      <c r="C149" s="210"/>
      <c r="D149" s="210"/>
      <c r="E149" s="210"/>
      <c r="F149" s="210"/>
      <c r="G149" s="210"/>
      <c r="H149" s="210"/>
      <c r="I149" s="210"/>
      <c r="J149" s="210"/>
      <c r="K149" s="210"/>
      <c r="L149" s="210"/>
      <c r="M149" s="210"/>
      <c r="N149" s="210"/>
      <c r="O149" s="210"/>
      <c r="P149" s="214"/>
      <c r="Q149" s="210"/>
      <c r="R149" s="210"/>
      <c r="S149" s="210"/>
      <c r="T149" s="210"/>
      <c r="U149" s="210"/>
      <c r="V149" s="210"/>
      <c r="W149" s="210"/>
      <c r="X149" s="210"/>
      <c r="Y149" s="210"/>
      <c r="Z149" s="210"/>
      <c r="AA149" s="210"/>
    </row>
    <row r="150" spans="2:27" ht="18.75" customHeight="1" x14ac:dyDescent="0.25">
      <c r="B150" s="210"/>
      <c r="C150" s="210"/>
      <c r="D150" s="210"/>
      <c r="E150" s="210"/>
      <c r="F150" s="210"/>
      <c r="G150" s="210"/>
      <c r="H150" s="210"/>
      <c r="I150" s="210"/>
      <c r="J150" s="210"/>
      <c r="K150" s="210"/>
      <c r="L150" s="210"/>
      <c r="M150" s="210"/>
      <c r="N150" s="210"/>
      <c r="O150" s="210"/>
      <c r="P150" s="214"/>
      <c r="Q150" s="210"/>
      <c r="R150" s="210"/>
      <c r="S150" s="210"/>
      <c r="T150" s="210"/>
      <c r="U150" s="210"/>
      <c r="V150" s="210"/>
      <c r="W150" s="210"/>
      <c r="X150" s="210"/>
      <c r="Y150" s="210"/>
      <c r="Z150" s="210"/>
      <c r="AA150" s="210"/>
    </row>
    <row r="151" spans="2:27" ht="18.75" customHeight="1" x14ac:dyDescent="0.25">
      <c r="B151" s="210"/>
      <c r="C151" s="210"/>
      <c r="D151" s="210"/>
      <c r="E151" s="210"/>
      <c r="F151" s="210"/>
      <c r="G151" s="210"/>
      <c r="H151" s="210"/>
      <c r="I151" s="210"/>
      <c r="J151" s="210"/>
      <c r="K151" s="210"/>
      <c r="L151" s="210"/>
      <c r="M151" s="210"/>
      <c r="N151" s="210"/>
      <c r="O151" s="210"/>
      <c r="P151" s="214"/>
      <c r="Q151" s="210"/>
      <c r="R151" s="210"/>
      <c r="S151" s="210"/>
      <c r="T151" s="210"/>
      <c r="U151" s="210"/>
      <c r="V151" s="210"/>
      <c r="W151" s="210"/>
      <c r="X151" s="210"/>
      <c r="Y151" s="210"/>
      <c r="Z151" s="210"/>
      <c r="AA151" s="210"/>
    </row>
    <row r="152" spans="2:27" ht="18.75" customHeight="1" x14ac:dyDescent="0.25">
      <c r="B152" s="210"/>
      <c r="C152" s="210"/>
      <c r="D152" s="210"/>
      <c r="E152" s="210"/>
      <c r="F152" s="210"/>
      <c r="G152" s="210"/>
      <c r="H152" s="210"/>
      <c r="I152" s="210"/>
      <c r="J152" s="210"/>
      <c r="K152" s="210"/>
      <c r="L152" s="210"/>
      <c r="M152" s="210"/>
      <c r="N152" s="210"/>
      <c r="O152" s="210"/>
      <c r="P152" s="214"/>
      <c r="Q152" s="210"/>
      <c r="R152" s="210"/>
      <c r="S152" s="210"/>
      <c r="T152" s="210"/>
      <c r="U152" s="210"/>
      <c r="V152" s="210"/>
      <c r="W152" s="210"/>
      <c r="X152" s="210"/>
      <c r="Y152" s="210"/>
      <c r="Z152" s="210"/>
      <c r="AA152" s="210"/>
    </row>
    <row r="153" spans="2:27" ht="18.75" customHeight="1" x14ac:dyDescent="0.25">
      <c r="B153" s="210"/>
      <c r="C153" s="210"/>
      <c r="D153" s="210"/>
      <c r="E153" s="210"/>
      <c r="F153" s="210"/>
      <c r="G153" s="210"/>
      <c r="H153" s="210"/>
      <c r="I153" s="210"/>
      <c r="J153" s="210"/>
      <c r="K153" s="210"/>
      <c r="L153" s="210"/>
      <c r="M153" s="210"/>
      <c r="N153" s="210"/>
      <c r="O153" s="210"/>
      <c r="P153" s="214"/>
      <c r="Q153" s="210"/>
      <c r="R153" s="210"/>
      <c r="S153" s="210"/>
      <c r="T153" s="210"/>
      <c r="U153" s="210"/>
      <c r="V153" s="210"/>
      <c r="W153" s="210"/>
      <c r="X153" s="210"/>
      <c r="Y153" s="210"/>
      <c r="Z153" s="210"/>
      <c r="AA153" s="210"/>
    </row>
    <row r="154" spans="2:27" ht="18.75" customHeight="1" x14ac:dyDescent="0.25">
      <c r="B154" s="210"/>
      <c r="C154" s="210"/>
      <c r="D154" s="210"/>
      <c r="E154" s="210"/>
      <c r="F154" s="210"/>
      <c r="G154" s="210"/>
      <c r="H154" s="210"/>
      <c r="I154" s="210"/>
      <c r="J154" s="210"/>
      <c r="K154" s="210"/>
      <c r="L154" s="210"/>
      <c r="M154" s="210"/>
      <c r="N154" s="210"/>
      <c r="O154" s="210"/>
      <c r="P154" s="214"/>
      <c r="Q154" s="210"/>
      <c r="R154" s="210"/>
      <c r="S154" s="210"/>
      <c r="T154" s="210"/>
      <c r="U154" s="210"/>
      <c r="V154" s="210"/>
      <c r="W154" s="210"/>
      <c r="X154" s="210"/>
      <c r="Y154" s="210"/>
      <c r="Z154" s="210"/>
      <c r="AA154" s="210"/>
    </row>
    <row r="155" spans="2:27" ht="18.75" customHeight="1" x14ac:dyDescent="0.25">
      <c r="B155" s="210"/>
      <c r="C155" s="210"/>
      <c r="D155" s="210"/>
      <c r="E155" s="210"/>
      <c r="F155" s="210"/>
      <c r="G155" s="210"/>
      <c r="H155" s="210"/>
      <c r="I155" s="210"/>
      <c r="J155" s="210"/>
      <c r="K155" s="210"/>
      <c r="L155" s="210"/>
      <c r="M155" s="210"/>
      <c r="N155" s="210"/>
      <c r="O155" s="210"/>
      <c r="P155" s="214"/>
      <c r="Q155" s="210"/>
      <c r="R155" s="210"/>
      <c r="S155" s="210"/>
      <c r="T155" s="210"/>
      <c r="U155" s="210"/>
      <c r="V155" s="210"/>
      <c r="W155" s="210"/>
      <c r="X155" s="210"/>
      <c r="Y155" s="210"/>
      <c r="Z155" s="210"/>
      <c r="AA155" s="210"/>
    </row>
    <row r="156" spans="2:27" ht="18.75" customHeight="1" x14ac:dyDescent="0.25">
      <c r="B156" s="210"/>
      <c r="C156" s="210"/>
      <c r="D156" s="210"/>
      <c r="E156" s="210"/>
      <c r="F156" s="210"/>
      <c r="G156" s="210"/>
      <c r="H156" s="210"/>
      <c r="I156" s="210"/>
      <c r="J156" s="210"/>
      <c r="K156" s="210"/>
      <c r="L156" s="210"/>
      <c r="M156" s="210"/>
      <c r="N156" s="210"/>
      <c r="O156" s="210"/>
      <c r="P156" s="214"/>
      <c r="Q156" s="210"/>
      <c r="R156" s="210"/>
      <c r="S156" s="210"/>
      <c r="T156" s="210"/>
      <c r="U156" s="210"/>
      <c r="V156" s="210"/>
      <c r="W156" s="210"/>
      <c r="X156" s="210"/>
      <c r="Y156" s="210"/>
      <c r="Z156" s="210"/>
      <c r="AA156" s="210"/>
    </row>
    <row r="157" spans="2:27" ht="18.75" customHeight="1" x14ac:dyDescent="0.25">
      <c r="B157" s="210"/>
      <c r="C157" s="210"/>
      <c r="D157" s="210"/>
      <c r="E157" s="210"/>
      <c r="F157" s="210"/>
      <c r="G157" s="210"/>
      <c r="H157" s="210"/>
      <c r="I157" s="210"/>
      <c r="J157" s="210"/>
      <c r="K157" s="210"/>
      <c r="L157" s="210"/>
      <c r="M157" s="210"/>
      <c r="N157" s="210"/>
      <c r="O157" s="210"/>
      <c r="P157" s="214"/>
      <c r="Q157" s="210"/>
      <c r="R157" s="210"/>
      <c r="S157" s="210"/>
      <c r="T157" s="210"/>
      <c r="U157" s="210"/>
      <c r="V157" s="210"/>
      <c r="W157" s="210"/>
      <c r="X157" s="210"/>
      <c r="Y157" s="210"/>
      <c r="Z157" s="210"/>
      <c r="AA157" s="210"/>
    </row>
    <row r="158" spans="2:27" ht="18.75" customHeight="1" x14ac:dyDescent="0.25">
      <c r="B158" s="210"/>
      <c r="C158" s="210"/>
      <c r="D158" s="210"/>
      <c r="E158" s="210"/>
      <c r="F158" s="210"/>
      <c r="G158" s="210"/>
      <c r="H158" s="210"/>
      <c r="I158" s="210"/>
      <c r="J158" s="210"/>
      <c r="K158" s="210"/>
      <c r="L158" s="210"/>
      <c r="M158" s="210"/>
      <c r="N158" s="210"/>
      <c r="O158" s="210"/>
      <c r="P158" s="214"/>
      <c r="Q158" s="210"/>
      <c r="R158" s="210"/>
      <c r="S158" s="210"/>
      <c r="T158" s="210"/>
      <c r="U158" s="210"/>
      <c r="V158" s="210"/>
      <c r="W158" s="210"/>
      <c r="X158" s="210"/>
      <c r="Y158" s="210"/>
      <c r="Z158" s="210"/>
      <c r="AA158" s="210"/>
    </row>
    <row r="159" spans="2:27" ht="18.75" customHeight="1" x14ac:dyDescent="0.25">
      <c r="B159" s="210"/>
      <c r="C159" s="210"/>
      <c r="D159" s="210"/>
      <c r="E159" s="210"/>
      <c r="F159" s="210"/>
      <c r="G159" s="210"/>
      <c r="H159" s="210"/>
      <c r="I159" s="210"/>
      <c r="J159" s="210"/>
      <c r="K159" s="210"/>
      <c r="L159" s="210"/>
      <c r="M159" s="210"/>
      <c r="N159" s="210"/>
      <c r="O159" s="210"/>
      <c r="P159" s="214"/>
      <c r="Q159" s="210"/>
      <c r="R159" s="210"/>
      <c r="S159" s="210"/>
      <c r="T159" s="210"/>
      <c r="U159" s="210"/>
      <c r="V159" s="210"/>
      <c r="W159" s="210"/>
      <c r="X159" s="210"/>
      <c r="Y159" s="210"/>
      <c r="Z159" s="210"/>
      <c r="AA159" s="210"/>
    </row>
    <row r="160" spans="2:27" ht="18.75" customHeight="1" x14ac:dyDescent="0.25">
      <c r="B160" s="210"/>
      <c r="C160" s="210"/>
      <c r="D160" s="210"/>
      <c r="E160" s="210"/>
      <c r="F160" s="210"/>
      <c r="G160" s="210"/>
      <c r="H160" s="210"/>
      <c r="I160" s="210"/>
      <c r="J160" s="210"/>
      <c r="K160" s="210"/>
      <c r="L160" s="210"/>
      <c r="M160" s="210"/>
      <c r="N160" s="210"/>
      <c r="O160" s="210"/>
      <c r="P160" s="214"/>
      <c r="Q160" s="210"/>
      <c r="R160" s="210"/>
      <c r="S160" s="210"/>
      <c r="T160" s="210"/>
      <c r="U160" s="210"/>
      <c r="V160" s="210"/>
      <c r="W160" s="210"/>
      <c r="X160" s="210"/>
      <c r="Y160" s="210"/>
      <c r="Z160" s="210"/>
      <c r="AA160" s="210"/>
    </row>
    <row r="161" spans="2:27" ht="18.75" customHeight="1" x14ac:dyDescent="0.25">
      <c r="B161" s="210"/>
      <c r="C161" s="210"/>
      <c r="D161" s="210"/>
      <c r="E161" s="210"/>
      <c r="F161" s="210"/>
      <c r="G161" s="210"/>
      <c r="H161" s="210"/>
      <c r="I161" s="210"/>
      <c r="J161" s="210"/>
      <c r="K161" s="210"/>
      <c r="L161" s="210"/>
      <c r="M161" s="210"/>
      <c r="N161" s="210"/>
      <c r="O161" s="210"/>
      <c r="P161" s="214"/>
      <c r="Q161" s="210"/>
      <c r="R161" s="210"/>
      <c r="S161" s="210"/>
      <c r="T161" s="210"/>
      <c r="U161" s="210"/>
      <c r="V161" s="210"/>
      <c r="W161" s="210"/>
      <c r="X161" s="210"/>
      <c r="Y161" s="210"/>
      <c r="Z161" s="210"/>
      <c r="AA161" s="210"/>
    </row>
    <row r="162" spans="2:27" ht="18.75" customHeight="1" x14ac:dyDescent="0.25">
      <c r="B162" s="210"/>
      <c r="C162" s="210"/>
      <c r="D162" s="210"/>
      <c r="E162" s="210"/>
      <c r="F162" s="210"/>
      <c r="G162" s="210"/>
      <c r="H162" s="210"/>
      <c r="I162" s="210"/>
      <c r="J162" s="210"/>
      <c r="K162" s="210"/>
      <c r="L162" s="210"/>
      <c r="M162" s="210"/>
      <c r="N162" s="210"/>
      <c r="O162" s="210"/>
      <c r="P162" s="214"/>
      <c r="Q162" s="210"/>
      <c r="R162" s="210"/>
      <c r="S162" s="210"/>
      <c r="T162" s="210"/>
      <c r="U162" s="210"/>
      <c r="V162" s="210"/>
      <c r="W162" s="210"/>
      <c r="X162" s="210"/>
      <c r="Y162" s="210"/>
      <c r="Z162" s="210"/>
      <c r="AA162" s="210"/>
    </row>
    <row r="163" spans="2:27" ht="18.75" customHeight="1" x14ac:dyDescent="0.25">
      <c r="B163" s="210"/>
      <c r="C163" s="210"/>
      <c r="D163" s="210"/>
      <c r="E163" s="210"/>
      <c r="F163" s="210"/>
      <c r="G163" s="210"/>
      <c r="H163" s="210"/>
      <c r="I163" s="210"/>
      <c r="J163" s="210"/>
      <c r="K163" s="210"/>
      <c r="L163" s="210"/>
      <c r="M163" s="210"/>
      <c r="N163" s="210"/>
      <c r="O163" s="210"/>
      <c r="P163" s="214"/>
      <c r="Q163" s="210"/>
      <c r="R163" s="210"/>
      <c r="S163" s="210"/>
      <c r="T163" s="210"/>
      <c r="U163" s="210"/>
      <c r="V163" s="210"/>
      <c r="W163" s="210"/>
      <c r="X163" s="210"/>
      <c r="Y163" s="210"/>
      <c r="Z163" s="210"/>
      <c r="AA163" s="210"/>
    </row>
    <row r="164" spans="2:27" ht="18.75" customHeight="1" x14ac:dyDescent="0.25">
      <c r="B164" s="210"/>
      <c r="C164" s="210"/>
      <c r="D164" s="210"/>
      <c r="E164" s="210"/>
      <c r="F164" s="210"/>
      <c r="G164" s="210"/>
      <c r="H164" s="210"/>
      <c r="I164" s="210"/>
      <c r="J164" s="210"/>
      <c r="K164" s="210"/>
      <c r="L164" s="210"/>
      <c r="M164" s="210"/>
      <c r="N164" s="210"/>
      <c r="O164" s="210"/>
      <c r="P164" s="214"/>
      <c r="Q164" s="210"/>
      <c r="R164" s="210"/>
      <c r="S164" s="210"/>
      <c r="T164" s="210"/>
      <c r="U164" s="210"/>
      <c r="V164" s="210"/>
      <c r="W164" s="210"/>
      <c r="X164" s="210"/>
      <c r="Y164" s="210"/>
      <c r="Z164" s="210"/>
      <c r="AA164" s="210"/>
    </row>
    <row r="165" spans="2:27" ht="18.75" customHeight="1" x14ac:dyDescent="0.25">
      <c r="B165" s="210"/>
      <c r="C165" s="210"/>
      <c r="D165" s="210"/>
      <c r="E165" s="210"/>
      <c r="F165" s="210"/>
      <c r="G165" s="210"/>
      <c r="H165" s="210"/>
      <c r="I165" s="210"/>
      <c r="J165" s="210"/>
      <c r="K165" s="210"/>
      <c r="L165" s="210"/>
      <c r="M165" s="210"/>
      <c r="N165" s="210"/>
      <c r="O165" s="210"/>
      <c r="P165" s="214"/>
      <c r="Q165" s="210"/>
      <c r="R165" s="210"/>
      <c r="S165" s="210"/>
      <c r="T165" s="210"/>
      <c r="U165" s="210"/>
      <c r="V165" s="210"/>
      <c r="W165" s="210"/>
      <c r="X165" s="210"/>
      <c r="Y165" s="210"/>
      <c r="Z165" s="210"/>
      <c r="AA165" s="210"/>
    </row>
    <row r="166" spans="2:27" ht="18.75" customHeight="1" x14ac:dyDescent="0.25">
      <c r="B166" s="210"/>
      <c r="C166" s="210"/>
      <c r="D166" s="210"/>
      <c r="E166" s="210"/>
      <c r="F166" s="210"/>
      <c r="G166" s="210"/>
      <c r="H166" s="210"/>
      <c r="I166" s="210"/>
      <c r="J166" s="210"/>
      <c r="K166" s="210"/>
      <c r="L166" s="210"/>
      <c r="M166" s="210"/>
      <c r="N166" s="210"/>
      <c r="O166" s="210"/>
      <c r="P166" s="214"/>
      <c r="Q166" s="210"/>
      <c r="R166" s="210"/>
      <c r="S166" s="210"/>
      <c r="T166" s="210"/>
      <c r="U166" s="210"/>
      <c r="V166" s="210"/>
      <c r="W166" s="210"/>
      <c r="X166" s="210"/>
      <c r="Y166" s="210"/>
      <c r="Z166" s="210"/>
      <c r="AA166" s="210"/>
    </row>
    <row r="167" spans="2:27" ht="18.75" customHeight="1" x14ac:dyDescent="0.25">
      <c r="B167" s="210"/>
      <c r="C167" s="210"/>
      <c r="D167" s="210"/>
      <c r="E167" s="210"/>
      <c r="F167" s="210"/>
      <c r="G167" s="210"/>
      <c r="H167" s="210"/>
      <c r="I167" s="210"/>
      <c r="J167" s="210"/>
      <c r="K167" s="210"/>
      <c r="L167" s="210"/>
      <c r="M167" s="210"/>
      <c r="N167" s="210"/>
      <c r="O167" s="210"/>
      <c r="P167" s="214"/>
      <c r="Q167" s="210"/>
      <c r="R167" s="210"/>
      <c r="S167" s="210"/>
      <c r="T167" s="210"/>
      <c r="U167" s="210"/>
      <c r="V167" s="210"/>
      <c r="W167" s="210"/>
      <c r="X167" s="210"/>
      <c r="Y167" s="210"/>
      <c r="Z167" s="210"/>
      <c r="AA167" s="210"/>
    </row>
    <row r="168" spans="2:27" ht="18.75" customHeight="1" x14ac:dyDescent="0.25">
      <c r="B168" s="210"/>
      <c r="C168" s="210"/>
      <c r="D168" s="210"/>
      <c r="E168" s="210"/>
      <c r="F168" s="210"/>
      <c r="G168" s="210"/>
      <c r="H168" s="210"/>
      <c r="I168" s="210"/>
      <c r="J168" s="210"/>
      <c r="K168" s="210"/>
      <c r="L168" s="210"/>
      <c r="M168" s="210"/>
      <c r="N168" s="210"/>
      <c r="O168" s="210"/>
      <c r="P168" s="214"/>
      <c r="Q168" s="210"/>
      <c r="R168" s="210"/>
      <c r="S168" s="210"/>
      <c r="T168" s="210"/>
      <c r="U168" s="210"/>
      <c r="V168" s="210"/>
      <c r="W168" s="210"/>
      <c r="X168" s="210"/>
      <c r="Y168" s="210"/>
      <c r="Z168" s="210"/>
      <c r="AA168" s="210"/>
    </row>
    <row r="169" spans="2:27" ht="18.75" customHeight="1" x14ac:dyDescent="0.25">
      <c r="B169" s="210"/>
      <c r="C169" s="210"/>
      <c r="D169" s="210"/>
      <c r="E169" s="210"/>
      <c r="F169" s="210"/>
      <c r="G169" s="210"/>
      <c r="H169" s="210"/>
      <c r="I169" s="210"/>
      <c r="J169" s="210"/>
      <c r="K169" s="210"/>
      <c r="L169" s="210"/>
      <c r="M169" s="210"/>
      <c r="N169" s="210"/>
      <c r="O169" s="210"/>
      <c r="P169" s="214"/>
      <c r="Q169" s="210"/>
      <c r="R169" s="210"/>
      <c r="S169" s="210"/>
      <c r="T169" s="210"/>
      <c r="U169" s="210"/>
      <c r="V169" s="210"/>
      <c r="W169" s="210"/>
      <c r="X169" s="210"/>
      <c r="Y169" s="210"/>
      <c r="Z169" s="210"/>
      <c r="AA169" s="210"/>
    </row>
    <row r="170" spans="2:27" ht="18.75" customHeight="1" x14ac:dyDescent="0.25">
      <c r="B170" s="210"/>
      <c r="C170" s="210"/>
      <c r="D170" s="210"/>
      <c r="E170" s="210"/>
      <c r="F170" s="210"/>
      <c r="G170" s="210"/>
      <c r="H170" s="210"/>
      <c r="I170" s="210"/>
      <c r="J170" s="210"/>
      <c r="K170" s="210"/>
      <c r="L170" s="210"/>
      <c r="M170" s="210"/>
      <c r="N170" s="210"/>
      <c r="O170" s="210"/>
      <c r="P170" s="214"/>
      <c r="Q170" s="210"/>
      <c r="R170" s="210"/>
      <c r="S170" s="210"/>
      <c r="T170" s="210"/>
      <c r="U170" s="210"/>
      <c r="V170" s="210"/>
      <c r="W170" s="210"/>
      <c r="X170" s="210"/>
      <c r="Y170" s="210"/>
      <c r="Z170" s="210"/>
      <c r="AA170" s="210"/>
    </row>
    <row r="171" spans="2:27" ht="18.75" customHeight="1" x14ac:dyDescent="0.25">
      <c r="B171" s="210"/>
      <c r="C171" s="210"/>
      <c r="D171" s="210"/>
      <c r="E171" s="210"/>
      <c r="F171" s="210"/>
      <c r="G171" s="210"/>
      <c r="H171" s="210"/>
      <c r="I171" s="210"/>
      <c r="J171" s="210"/>
      <c r="K171" s="210"/>
      <c r="L171" s="210"/>
      <c r="M171" s="210"/>
      <c r="N171" s="210"/>
      <c r="O171" s="210"/>
      <c r="P171" s="214"/>
      <c r="Q171" s="210"/>
      <c r="R171" s="210"/>
      <c r="S171" s="210"/>
      <c r="T171" s="210"/>
      <c r="U171" s="210"/>
      <c r="V171" s="210"/>
      <c r="W171" s="210"/>
      <c r="X171" s="210"/>
      <c r="Y171" s="210"/>
      <c r="Z171" s="210"/>
      <c r="AA171" s="210"/>
    </row>
    <row r="172" spans="2:27" ht="18.75" customHeight="1" x14ac:dyDescent="0.25">
      <c r="B172" s="210"/>
      <c r="C172" s="210"/>
      <c r="D172" s="210"/>
      <c r="E172" s="210"/>
      <c r="F172" s="210"/>
      <c r="G172" s="210"/>
      <c r="H172" s="210"/>
      <c r="I172" s="210"/>
      <c r="J172" s="210"/>
      <c r="K172" s="210"/>
      <c r="L172" s="210"/>
      <c r="M172" s="210"/>
      <c r="N172" s="210"/>
      <c r="O172" s="210"/>
      <c r="P172" s="214"/>
      <c r="Q172" s="210"/>
      <c r="R172" s="210"/>
      <c r="S172" s="210"/>
      <c r="T172" s="210"/>
      <c r="U172" s="210"/>
      <c r="V172" s="210"/>
      <c r="W172" s="210"/>
      <c r="X172" s="210"/>
      <c r="Y172" s="210"/>
      <c r="Z172" s="210"/>
      <c r="AA172" s="210"/>
    </row>
    <row r="173" spans="2:27" ht="18.75" customHeight="1" x14ac:dyDescent="0.25">
      <c r="B173" s="210"/>
      <c r="C173" s="210"/>
      <c r="D173" s="210"/>
      <c r="E173" s="210"/>
      <c r="F173" s="210"/>
      <c r="G173" s="210"/>
      <c r="H173" s="210"/>
      <c r="I173" s="210"/>
      <c r="J173" s="210"/>
      <c r="K173" s="210"/>
      <c r="L173" s="210"/>
      <c r="M173" s="210"/>
      <c r="N173" s="210"/>
      <c r="O173" s="210"/>
      <c r="P173" s="214"/>
      <c r="Q173" s="210"/>
      <c r="R173" s="210"/>
      <c r="S173" s="210"/>
      <c r="T173" s="210"/>
      <c r="U173" s="210"/>
      <c r="V173" s="210"/>
      <c r="W173" s="210"/>
      <c r="X173" s="210"/>
      <c r="Y173" s="210"/>
      <c r="Z173" s="210"/>
      <c r="AA173" s="210"/>
    </row>
    <row r="174" spans="2:27" ht="18.75" customHeight="1" x14ac:dyDescent="0.25">
      <c r="B174" s="210"/>
      <c r="C174" s="210"/>
      <c r="D174" s="210"/>
      <c r="E174" s="210"/>
      <c r="F174" s="210"/>
      <c r="G174" s="210"/>
      <c r="H174" s="210"/>
      <c r="I174" s="210"/>
      <c r="J174" s="210"/>
      <c r="K174" s="210"/>
      <c r="L174" s="210"/>
      <c r="M174" s="210"/>
      <c r="N174" s="210"/>
      <c r="O174" s="210"/>
      <c r="P174" s="214"/>
      <c r="Q174" s="210"/>
      <c r="R174" s="210"/>
      <c r="S174" s="210"/>
      <c r="T174" s="210"/>
      <c r="U174" s="210"/>
      <c r="V174" s="210"/>
      <c r="W174" s="210"/>
      <c r="X174" s="210"/>
      <c r="Y174" s="210"/>
      <c r="Z174" s="210"/>
      <c r="AA174" s="210"/>
    </row>
    <row r="175" spans="2:27" ht="18.75" customHeight="1" x14ac:dyDescent="0.25">
      <c r="B175" s="210"/>
      <c r="C175" s="210"/>
      <c r="D175" s="210"/>
      <c r="E175" s="210"/>
      <c r="F175" s="210"/>
      <c r="G175" s="210"/>
      <c r="H175" s="210"/>
      <c r="I175" s="210"/>
      <c r="J175" s="210"/>
      <c r="K175" s="210"/>
      <c r="L175" s="210"/>
      <c r="M175" s="210"/>
      <c r="N175" s="210"/>
      <c r="O175" s="210"/>
      <c r="P175" s="214"/>
      <c r="Q175" s="210"/>
      <c r="R175" s="210"/>
      <c r="S175" s="210"/>
      <c r="T175" s="210"/>
      <c r="U175" s="210"/>
      <c r="V175" s="210"/>
      <c r="W175" s="210"/>
      <c r="X175" s="210"/>
      <c r="Y175" s="210"/>
      <c r="Z175" s="210"/>
      <c r="AA175" s="210"/>
    </row>
    <row r="176" spans="2:27" ht="18.75" customHeight="1" x14ac:dyDescent="0.25">
      <c r="B176" s="210"/>
      <c r="C176" s="210"/>
      <c r="D176" s="210"/>
      <c r="E176" s="210"/>
      <c r="F176" s="210"/>
      <c r="G176" s="210"/>
      <c r="H176" s="210"/>
      <c r="I176" s="210"/>
      <c r="J176" s="210"/>
      <c r="K176" s="210"/>
      <c r="L176" s="210"/>
      <c r="M176" s="210"/>
      <c r="N176" s="210"/>
      <c r="O176" s="210"/>
      <c r="P176" s="214"/>
      <c r="Q176" s="210"/>
      <c r="R176" s="210"/>
      <c r="S176" s="210"/>
      <c r="T176" s="210"/>
      <c r="U176" s="210"/>
      <c r="V176" s="210"/>
      <c r="W176" s="210"/>
      <c r="X176" s="210"/>
      <c r="Y176" s="210"/>
      <c r="Z176" s="210"/>
      <c r="AA176" s="210"/>
    </row>
    <row r="177" spans="2:27" ht="18.75" customHeight="1" x14ac:dyDescent="0.25">
      <c r="B177" s="210"/>
      <c r="C177" s="210"/>
      <c r="D177" s="210"/>
      <c r="E177" s="210"/>
      <c r="F177" s="210"/>
      <c r="G177" s="210"/>
      <c r="H177" s="210"/>
      <c r="I177" s="210"/>
      <c r="J177" s="210"/>
      <c r="K177" s="210"/>
      <c r="L177" s="210"/>
      <c r="M177" s="210"/>
      <c r="N177" s="210"/>
      <c r="O177" s="210"/>
      <c r="P177" s="214"/>
      <c r="Q177" s="210"/>
      <c r="R177" s="210"/>
      <c r="S177" s="210"/>
      <c r="T177" s="210"/>
      <c r="U177" s="210"/>
      <c r="V177" s="210"/>
      <c r="W177" s="210"/>
      <c r="X177" s="210"/>
      <c r="Y177" s="210"/>
      <c r="Z177" s="210"/>
      <c r="AA177" s="210"/>
    </row>
    <row r="178" spans="2:27" ht="18.75" customHeight="1" x14ac:dyDescent="0.25">
      <c r="B178" s="210"/>
      <c r="C178" s="210"/>
      <c r="D178" s="210"/>
      <c r="E178" s="210"/>
      <c r="F178" s="210"/>
      <c r="G178" s="210"/>
      <c r="H178" s="210"/>
      <c r="I178" s="210"/>
      <c r="J178" s="210"/>
      <c r="K178" s="210"/>
      <c r="L178" s="210"/>
      <c r="M178" s="210"/>
      <c r="N178" s="210"/>
      <c r="O178" s="210"/>
      <c r="P178" s="214"/>
      <c r="Q178" s="210"/>
      <c r="R178" s="210"/>
      <c r="S178" s="210"/>
      <c r="T178" s="210"/>
      <c r="U178" s="210"/>
      <c r="V178" s="210"/>
      <c r="W178" s="210"/>
      <c r="X178" s="210"/>
      <c r="Y178" s="210"/>
      <c r="Z178" s="210"/>
      <c r="AA178" s="210"/>
    </row>
    <row r="179" spans="2:27" ht="18.75" customHeight="1" x14ac:dyDescent="0.25">
      <c r="B179" s="210"/>
      <c r="C179" s="210"/>
      <c r="D179" s="210"/>
      <c r="E179" s="210"/>
      <c r="F179" s="210"/>
      <c r="G179" s="210"/>
      <c r="H179" s="210"/>
      <c r="I179" s="210"/>
      <c r="J179" s="210"/>
      <c r="K179" s="210"/>
      <c r="L179" s="210"/>
      <c r="M179" s="210"/>
      <c r="N179" s="210"/>
      <c r="O179" s="210"/>
      <c r="P179" s="214"/>
      <c r="Q179" s="210"/>
      <c r="R179" s="210"/>
      <c r="S179" s="210"/>
      <c r="T179" s="210"/>
      <c r="U179" s="210"/>
      <c r="V179" s="210"/>
      <c r="W179" s="210"/>
      <c r="X179" s="210"/>
      <c r="Y179" s="210"/>
      <c r="Z179" s="210"/>
      <c r="AA179" s="210"/>
    </row>
    <row r="180" spans="2:27" ht="18.75" customHeight="1" x14ac:dyDescent="0.25">
      <c r="B180" s="210"/>
      <c r="C180" s="210"/>
      <c r="D180" s="210"/>
      <c r="E180" s="210"/>
      <c r="F180" s="210"/>
      <c r="G180" s="210"/>
      <c r="H180" s="210"/>
      <c r="I180" s="210"/>
      <c r="J180" s="210"/>
      <c r="K180" s="210"/>
      <c r="L180" s="210"/>
      <c r="M180" s="210"/>
      <c r="N180" s="210"/>
      <c r="O180" s="210"/>
      <c r="P180" s="214"/>
      <c r="Q180" s="210"/>
      <c r="R180" s="210"/>
      <c r="S180" s="210"/>
      <c r="T180" s="210"/>
      <c r="U180" s="210"/>
      <c r="V180" s="210"/>
      <c r="W180" s="210"/>
      <c r="X180" s="210"/>
      <c r="Y180" s="210"/>
      <c r="Z180" s="210"/>
      <c r="AA180" s="210"/>
    </row>
    <row r="181" spans="2:27" ht="18.75" customHeight="1" x14ac:dyDescent="0.25">
      <c r="B181" s="210"/>
      <c r="C181" s="210"/>
      <c r="D181" s="210"/>
      <c r="E181" s="210"/>
      <c r="F181" s="210"/>
      <c r="G181" s="210"/>
      <c r="H181" s="210"/>
      <c r="I181" s="210"/>
      <c r="J181" s="210"/>
      <c r="K181" s="210"/>
      <c r="L181" s="210"/>
      <c r="M181" s="210"/>
      <c r="N181" s="210"/>
      <c r="O181" s="210"/>
      <c r="P181" s="214"/>
      <c r="Q181" s="210"/>
      <c r="R181" s="210"/>
      <c r="S181" s="210"/>
      <c r="T181" s="210"/>
      <c r="U181" s="210"/>
      <c r="V181" s="210"/>
      <c r="W181" s="210"/>
      <c r="X181" s="210"/>
      <c r="Y181" s="210"/>
      <c r="Z181" s="210"/>
      <c r="AA181" s="210"/>
    </row>
    <row r="182" spans="2:27" ht="18.75" customHeight="1" x14ac:dyDescent="0.25">
      <c r="B182" s="210"/>
      <c r="C182" s="210"/>
      <c r="D182" s="210"/>
      <c r="E182" s="210"/>
      <c r="F182" s="210"/>
      <c r="G182" s="210"/>
      <c r="H182" s="210"/>
      <c r="I182" s="210"/>
      <c r="J182" s="210"/>
      <c r="K182" s="210"/>
      <c r="L182" s="210"/>
      <c r="M182" s="210"/>
      <c r="N182" s="210"/>
      <c r="O182" s="210"/>
      <c r="P182" s="214"/>
      <c r="Q182" s="210"/>
      <c r="R182" s="210"/>
      <c r="S182" s="210"/>
      <c r="T182" s="210"/>
      <c r="U182" s="210"/>
      <c r="V182" s="210"/>
      <c r="W182" s="210"/>
      <c r="X182" s="210"/>
      <c r="Y182" s="210"/>
      <c r="Z182" s="210"/>
      <c r="AA182" s="210"/>
    </row>
    <row r="183" spans="2:27" ht="18.75" customHeight="1" x14ac:dyDescent="0.25">
      <c r="B183" s="210"/>
      <c r="C183" s="210"/>
      <c r="D183" s="210"/>
      <c r="E183" s="210"/>
      <c r="F183" s="210"/>
      <c r="G183" s="210"/>
      <c r="H183" s="210"/>
      <c r="I183" s="210"/>
      <c r="J183" s="210"/>
      <c r="K183" s="210"/>
      <c r="L183" s="210"/>
      <c r="M183" s="210"/>
      <c r="N183" s="210"/>
      <c r="O183" s="210"/>
      <c r="P183" s="214"/>
      <c r="Q183" s="210"/>
      <c r="R183" s="210"/>
      <c r="S183" s="210"/>
      <c r="T183" s="210"/>
      <c r="U183" s="210"/>
      <c r="V183" s="210"/>
      <c r="W183" s="210"/>
      <c r="X183" s="210"/>
      <c r="Y183" s="210"/>
      <c r="Z183" s="210"/>
      <c r="AA183" s="210"/>
    </row>
    <row r="184" spans="2:27" ht="18.75" customHeight="1" x14ac:dyDescent="0.25">
      <c r="B184" s="210"/>
      <c r="C184" s="210"/>
      <c r="D184" s="210"/>
      <c r="E184" s="210"/>
      <c r="F184" s="210"/>
      <c r="G184" s="210"/>
      <c r="H184" s="210"/>
      <c r="I184" s="210"/>
      <c r="J184" s="210"/>
      <c r="K184" s="210"/>
      <c r="L184" s="210"/>
      <c r="M184" s="210"/>
      <c r="N184" s="210"/>
      <c r="O184" s="210"/>
      <c r="P184" s="214"/>
      <c r="Q184" s="210"/>
      <c r="R184" s="210"/>
      <c r="S184" s="210"/>
      <c r="T184" s="210"/>
      <c r="U184" s="210"/>
      <c r="V184" s="210"/>
      <c r="W184" s="210"/>
      <c r="X184" s="210"/>
      <c r="Y184" s="210"/>
      <c r="Z184" s="210"/>
      <c r="AA184" s="210"/>
    </row>
    <row r="185" spans="2:27" ht="18.75" customHeight="1" x14ac:dyDescent="0.25">
      <c r="B185" s="210"/>
      <c r="C185" s="210"/>
      <c r="D185" s="210"/>
      <c r="E185" s="210"/>
      <c r="F185" s="210"/>
      <c r="G185" s="210"/>
      <c r="H185" s="210"/>
      <c r="I185" s="210"/>
      <c r="J185" s="210"/>
      <c r="K185" s="210"/>
      <c r="L185" s="210"/>
      <c r="M185" s="210"/>
      <c r="N185" s="210"/>
      <c r="O185" s="210"/>
      <c r="P185" s="214"/>
      <c r="Q185" s="210"/>
      <c r="R185" s="210"/>
      <c r="S185" s="210"/>
      <c r="T185" s="210"/>
      <c r="U185" s="210"/>
      <c r="V185" s="210"/>
      <c r="W185" s="210"/>
      <c r="X185" s="210"/>
      <c r="Y185" s="210"/>
      <c r="Z185" s="210"/>
      <c r="AA185" s="210"/>
    </row>
    <row r="186" spans="2:27" ht="18.75" customHeight="1" x14ac:dyDescent="0.25">
      <c r="B186" s="210"/>
      <c r="C186" s="210"/>
      <c r="D186" s="210"/>
      <c r="E186" s="210"/>
      <c r="F186" s="210"/>
      <c r="G186" s="210"/>
      <c r="H186" s="210"/>
      <c r="I186" s="210"/>
      <c r="J186" s="210"/>
      <c r="K186" s="210"/>
      <c r="L186" s="210"/>
      <c r="M186" s="210"/>
      <c r="N186" s="210"/>
      <c r="O186" s="210"/>
      <c r="P186" s="214"/>
      <c r="Q186" s="210"/>
      <c r="R186" s="210"/>
      <c r="S186" s="210"/>
      <c r="T186" s="210"/>
      <c r="U186" s="210"/>
      <c r="V186" s="210"/>
      <c r="W186" s="210"/>
      <c r="X186" s="210"/>
      <c r="Y186" s="210"/>
      <c r="Z186" s="210"/>
      <c r="AA186" s="210"/>
    </row>
    <row r="187" spans="2:27" ht="18.75" customHeight="1" x14ac:dyDescent="0.25">
      <c r="B187" s="210"/>
      <c r="C187" s="210"/>
      <c r="D187" s="210"/>
      <c r="E187" s="210"/>
      <c r="F187" s="210"/>
      <c r="G187" s="210"/>
      <c r="H187" s="210"/>
      <c r="I187" s="210"/>
      <c r="J187" s="210"/>
      <c r="K187" s="210"/>
      <c r="L187" s="210"/>
      <c r="M187" s="210"/>
      <c r="N187" s="210"/>
      <c r="O187" s="210"/>
      <c r="P187" s="214"/>
      <c r="Q187" s="210"/>
      <c r="R187" s="210"/>
      <c r="S187" s="210"/>
      <c r="T187" s="210"/>
      <c r="U187" s="210"/>
      <c r="V187" s="210"/>
      <c r="W187" s="210"/>
      <c r="X187" s="210"/>
      <c r="Y187" s="210"/>
      <c r="Z187" s="210"/>
      <c r="AA187" s="210"/>
    </row>
    <row r="188" spans="2:27" ht="18.75" customHeight="1" x14ac:dyDescent="0.25">
      <c r="B188" s="210"/>
      <c r="C188" s="210"/>
      <c r="D188" s="210"/>
      <c r="E188" s="210"/>
      <c r="F188" s="210"/>
      <c r="G188" s="210"/>
      <c r="H188" s="210"/>
      <c r="I188" s="210"/>
      <c r="J188" s="210"/>
      <c r="K188" s="210"/>
      <c r="L188" s="210"/>
      <c r="M188" s="210"/>
      <c r="N188" s="210"/>
      <c r="O188" s="210"/>
      <c r="P188" s="214"/>
      <c r="Q188" s="210"/>
      <c r="R188" s="210"/>
      <c r="S188" s="210"/>
      <c r="T188" s="210"/>
      <c r="U188" s="210"/>
      <c r="V188" s="210"/>
      <c r="W188" s="210"/>
      <c r="X188" s="210"/>
      <c r="Y188" s="210"/>
      <c r="Z188" s="210"/>
      <c r="AA188" s="210"/>
    </row>
    <row r="189" spans="2:27" ht="18.75" customHeight="1" x14ac:dyDescent="0.25">
      <c r="B189" s="210"/>
      <c r="C189" s="210"/>
      <c r="D189" s="210"/>
      <c r="E189" s="210"/>
      <c r="F189" s="210"/>
      <c r="G189" s="210"/>
      <c r="H189" s="210"/>
      <c r="I189" s="210"/>
      <c r="J189" s="210"/>
      <c r="K189" s="210"/>
      <c r="L189" s="210"/>
      <c r="M189" s="210"/>
      <c r="N189" s="210"/>
      <c r="O189" s="210"/>
      <c r="P189" s="214"/>
      <c r="Q189" s="210"/>
      <c r="R189" s="210"/>
      <c r="S189" s="210"/>
      <c r="T189" s="210"/>
      <c r="U189" s="210"/>
      <c r="V189" s="210"/>
      <c r="W189" s="210"/>
      <c r="X189" s="210"/>
      <c r="Y189" s="210"/>
      <c r="Z189" s="210"/>
      <c r="AA189" s="210"/>
    </row>
    <row r="190" spans="2:27" ht="18.75" customHeight="1" x14ac:dyDescent="0.25">
      <c r="B190" s="210"/>
      <c r="C190" s="210"/>
      <c r="D190" s="210"/>
      <c r="E190" s="210"/>
      <c r="F190" s="210"/>
      <c r="G190" s="210"/>
      <c r="H190" s="210"/>
      <c r="I190" s="210"/>
      <c r="J190" s="210"/>
      <c r="K190" s="210"/>
      <c r="L190" s="210"/>
      <c r="M190" s="210"/>
      <c r="N190" s="210"/>
      <c r="O190" s="210"/>
      <c r="P190" s="214"/>
      <c r="Q190" s="210"/>
      <c r="R190" s="210"/>
      <c r="S190" s="210"/>
      <c r="T190" s="210"/>
      <c r="U190" s="210"/>
      <c r="V190" s="210"/>
      <c r="W190" s="210"/>
      <c r="X190" s="210"/>
      <c r="Y190" s="210"/>
      <c r="Z190" s="210"/>
      <c r="AA190" s="210"/>
    </row>
    <row r="191" spans="2:27" ht="18.75" customHeight="1" x14ac:dyDescent="0.25">
      <c r="B191" s="210"/>
      <c r="C191" s="210"/>
      <c r="D191" s="210"/>
      <c r="E191" s="210"/>
      <c r="F191" s="210"/>
      <c r="G191" s="210"/>
      <c r="H191" s="210"/>
      <c r="I191" s="210"/>
      <c r="J191" s="210"/>
      <c r="K191" s="210"/>
      <c r="L191" s="210"/>
      <c r="M191" s="210"/>
      <c r="N191" s="210"/>
      <c r="O191" s="210"/>
      <c r="P191" s="214"/>
      <c r="Q191" s="210"/>
      <c r="R191" s="210"/>
      <c r="S191" s="210"/>
      <c r="T191" s="210"/>
      <c r="U191" s="210"/>
      <c r="V191" s="210"/>
      <c r="W191" s="210"/>
      <c r="X191" s="210"/>
      <c r="Y191" s="210"/>
      <c r="Z191" s="210"/>
      <c r="AA191" s="210"/>
    </row>
    <row r="192" spans="2:27" ht="18.75" customHeight="1" x14ac:dyDescent="0.25">
      <c r="B192" s="210"/>
      <c r="C192" s="210"/>
      <c r="D192" s="210"/>
      <c r="E192" s="210"/>
      <c r="F192" s="210"/>
      <c r="G192" s="210"/>
      <c r="H192" s="210"/>
      <c r="I192" s="210"/>
      <c r="J192" s="210"/>
      <c r="K192" s="210"/>
      <c r="L192" s="210"/>
      <c r="M192" s="210"/>
      <c r="N192" s="210"/>
      <c r="O192" s="210"/>
      <c r="P192" s="214"/>
      <c r="Q192" s="210"/>
      <c r="R192" s="210"/>
      <c r="S192" s="210"/>
      <c r="T192" s="210"/>
      <c r="U192" s="210"/>
      <c r="V192" s="210"/>
      <c r="W192" s="210"/>
      <c r="X192" s="210"/>
      <c r="Y192" s="210"/>
      <c r="Z192" s="210"/>
      <c r="AA192" s="210"/>
    </row>
    <row r="193" spans="2:27" ht="18.75" customHeight="1" x14ac:dyDescent="0.25">
      <c r="B193" s="210"/>
      <c r="C193" s="210"/>
      <c r="D193" s="210"/>
      <c r="E193" s="210"/>
      <c r="F193" s="210"/>
      <c r="G193" s="210"/>
      <c r="H193" s="210"/>
      <c r="I193" s="210"/>
      <c r="J193" s="210"/>
      <c r="K193" s="210"/>
      <c r="L193" s="210"/>
      <c r="M193" s="210"/>
      <c r="N193" s="210"/>
      <c r="O193" s="210"/>
      <c r="P193" s="214"/>
      <c r="Q193" s="210"/>
      <c r="R193" s="210"/>
      <c r="S193" s="210"/>
      <c r="T193" s="210"/>
      <c r="U193" s="210"/>
      <c r="V193" s="210"/>
      <c r="W193" s="210"/>
      <c r="X193" s="210"/>
      <c r="Y193" s="210"/>
      <c r="Z193" s="210"/>
      <c r="AA193" s="210"/>
    </row>
    <row r="194" spans="2:27" ht="18.75" customHeight="1" x14ac:dyDescent="0.25">
      <c r="B194" s="210"/>
      <c r="C194" s="210"/>
      <c r="D194" s="210"/>
      <c r="E194" s="210"/>
      <c r="F194" s="210"/>
      <c r="G194" s="210"/>
      <c r="H194" s="210"/>
      <c r="I194" s="210"/>
      <c r="J194" s="210"/>
      <c r="K194" s="210"/>
      <c r="L194" s="210"/>
      <c r="M194" s="210"/>
      <c r="N194" s="210"/>
      <c r="O194" s="210"/>
      <c r="P194" s="214"/>
      <c r="Q194" s="210"/>
      <c r="R194" s="210"/>
      <c r="S194" s="210"/>
      <c r="T194" s="210"/>
      <c r="U194" s="210"/>
      <c r="V194" s="210"/>
      <c r="W194" s="210"/>
      <c r="X194" s="210"/>
      <c r="Y194" s="210"/>
      <c r="Z194" s="210"/>
      <c r="AA194" s="210"/>
    </row>
    <row r="195" spans="2:27" ht="18.75" customHeight="1" x14ac:dyDescent="0.25">
      <c r="B195" s="210"/>
      <c r="C195" s="210"/>
      <c r="D195" s="210"/>
      <c r="E195" s="210"/>
      <c r="F195" s="210"/>
      <c r="G195" s="210"/>
      <c r="H195" s="210"/>
      <c r="I195" s="210"/>
      <c r="J195" s="210"/>
      <c r="K195" s="210"/>
      <c r="L195" s="210"/>
      <c r="M195" s="210"/>
      <c r="N195" s="210"/>
      <c r="O195" s="210"/>
      <c r="P195" s="214"/>
      <c r="Q195" s="210"/>
      <c r="R195" s="210"/>
      <c r="S195" s="210"/>
      <c r="T195" s="210"/>
      <c r="U195" s="210"/>
      <c r="V195" s="210"/>
      <c r="W195" s="210"/>
      <c r="X195" s="210"/>
      <c r="Y195" s="210"/>
      <c r="Z195" s="210"/>
      <c r="AA195" s="210"/>
    </row>
    <row r="196" spans="2:27" ht="18.75" customHeight="1" x14ac:dyDescent="0.25">
      <c r="B196" s="210"/>
      <c r="C196" s="210"/>
      <c r="D196" s="210"/>
      <c r="E196" s="210"/>
      <c r="F196" s="210"/>
      <c r="G196" s="210"/>
      <c r="H196" s="210"/>
      <c r="I196" s="210"/>
      <c r="J196" s="210"/>
      <c r="K196" s="210"/>
      <c r="L196" s="210"/>
      <c r="M196" s="210"/>
      <c r="N196" s="210"/>
      <c r="O196" s="210"/>
      <c r="P196" s="214"/>
      <c r="Q196" s="210"/>
      <c r="R196" s="210"/>
      <c r="S196" s="210"/>
      <c r="T196" s="210"/>
      <c r="U196" s="210"/>
      <c r="V196" s="210"/>
      <c r="W196" s="210"/>
      <c r="X196" s="210"/>
      <c r="Y196" s="210"/>
      <c r="Z196" s="210"/>
      <c r="AA196" s="210"/>
    </row>
    <row r="197" spans="2:27" ht="18.75" customHeight="1" x14ac:dyDescent="0.25">
      <c r="B197" s="210"/>
      <c r="C197" s="210"/>
      <c r="D197" s="210"/>
      <c r="E197" s="210"/>
      <c r="F197" s="210"/>
      <c r="G197" s="210"/>
      <c r="H197" s="210"/>
      <c r="I197" s="210"/>
      <c r="J197" s="210"/>
      <c r="K197" s="210"/>
      <c r="L197" s="210"/>
      <c r="M197" s="210"/>
      <c r="N197" s="210"/>
      <c r="O197" s="210"/>
      <c r="P197" s="214"/>
      <c r="Q197" s="210"/>
      <c r="R197" s="210"/>
      <c r="S197" s="210"/>
      <c r="T197" s="210"/>
      <c r="U197" s="210"/>
      <c r="V197" s="210"/>
      <c r="W197" s="210"/>
      <c r="X197" s="210"/>
      <c r="Y197" s="210"/>
      <c r="Z197" s="210"/>
      <c r="AA197" s="210"/>
    </row>
    <row r="198" spans="2:27" ht="18.75" customHeight="1" x14ac:dyDescent="0.25">
      <c r="B198" s="210"/>
      <c r="C198" s="210"/>
      <c r="D198" s="210"/>
      <c r="E198" s="210"/>
      <c r="F198" s="210"/>
      <c r="G198" s="210"/>
      <c r="H198" s="210"/>
      <c r="I198" s="210"/>
      <c r="J198" s="210"/>
      <c r="K198" s="210"/>
      <c r="L198" s="210"/>
      <c r="M198" s="210"/>
      <c r="N198" s="210"/>
      <c r="O198" s="210"/>
      <c r="P198" s="214"/>
      <c r="Q198" s="210"/>
      <c r="R198" s="210"/>
      <c r="S198" s="210"/>
      <c r="T198" s="210"/>
      <c r="U198" s="210"/>
      <c r="V198" s="210"/>
      <c r="W198" s="210"/>
      <c r="X198" s="210"/>
      <c r="Y198" s="210"/>
      <c r="Z198" s="210"/>
      <c r="AA198" s="210"/>
    </row>
    <row r="199" spans="2:27" ht="18.75" customHeight="1" x14ac:dyDescent="0.25">
      <c r="B199" s="210"/>
      <c r="C199" s="210"/>
      <c r="D199" s="210"/>
      <c r="E199" s="210"/>
      <c r="F199" s="210"/>
      <c r="G199" s="210"/>
      <c r="H199" s="210"/>
      <c r="I199" s="210"/>
      <c r="J199" s="210"/>
      <c r="K199" s="210"/>
      <c r="L199" s="210"/>
      <c r="M199" s="210"/>
      <c r="N199" s="210"/>
      <c r="O199" s="210"/>
      <c r="P199" s="214"/>
      <c r="Q199" s="210"/>
      <c r="R199" s="210"/>
      <c r="S199" s="210"/>
      <c r="T199" s="210"/>
      <c r="U199" s="210"/>
      <c r="V199" s="210"/>
      <c r="W199" s="210"/>
      <c r="X199" s="210"/>
      <c r="Y199" s="210"/>
      <c r="Z199" s="210"/>
      <c r="AA199" s="210"/>
    </row>
    <row r="200" spans="2:27" ht="18.75" customHeight="1" x14ac:dyDescent="0.25">
      <c r="B200" s="210"/>
      <c r="C200" s="210"/>
      <c r="D200" s="210"/>
      <c r="E200" s="210"/>
      <c r="F200" s="210"/>
      <c r="G200" s="210"/>
      <c r="H200" s="210"/>
      <c r="I200" s="210"/>
      <c r="J200" s="210"/>
      <c r="K200" s="210"/>
      <c r="L200" s="210"/>
      <c r="M200" s="210"/>
      <c r="N200" s="210"/>
      <c r="O200" s="210"/>
      <c r="P200" s="214"/>
      <c r="Q200" s="210"/>
      <c r="R200" s="210"/>
      <c r="S200" s="210"/>
      <c r="T200" s="210"/>
      <c r="U200" s="210"/>
      <c r="V200" s="210"/>
      <c r="W200" s="210"/>
      <c r="X200" s="210"/>
      <c r="Y200" s="210"/>
      <c r="Z200" s="210"/>
      <c r="AA200" s="210"/>
    </row>
    <row r="201" spans="2:27" ht="18.75" customHeight="1" x14ac:dyDescent="0.25">
      <c r="B201" s="210"/>
      <c r="C201" s="210"/>
      <c r="D201" s="210"/>
      <c r="E201" s="210"/>
      <c r="F201" s="210"/>
      <c r="G201" s="210"/>
      <c r="H201" s="210"/>
      <c r="I201" s="210"/>
      <c r="J201" s="210"/>
      <c r="K201" s="210"/>
      <c r="L201" s="210"/>
      <c r="M201" s="210"/>
      <c r="N201" s="210"/>
      <c r="O201" s="210"/>
      <c r="P201" s="214"/>
      <c r="Q201" s="210"/>
      <c r="R201" s="210"/>
      <c r="S201" s="210"/>
      <c r="T201" s="210"/>
      <c r="U201" s="210"/>
      <c r="V201" s="210"/>
      <c r="W201" s="210"/>
      <c r="X201" s="210"/>
      <c r="Y201" s="210"/>
      <c r="Z201" s="210"/>
      <c r="AA201" s="210"/>
    </row>
    <row r="202" spans="2:27" ht="18.75" customHeight="1" x14ac:dyDescent="0.25">
      <c r="B202" s="210"/>
      <c r="C202" s="210"/>
      <c r="D202" s="210"/>
      <c r="E202" s="210"/>
      <c r="F202" s="210"/>
      <c r="G202" s="210"/>
      <c r="H202" s="210"/>
      <c r="I202" s="210"/>
      <c r="J202" s="210"/>
      <c r="K202" s="210"/>
      <c r="L202" s="210"/>
      <c r="M202" s="210"/>
      <c r="N202" s="210"/>
      <c r="O202" s="210"/>
      <c r="P202" s="214"/>
      <c r="Q202" s="210"/>
      <c r="R202" s="210"/>
      <c r="S202" s="210"/>
      <c r="T202" s="210"/>
      <c r="U202" s="210"/>
      <c r="V202" s="210"/>
      <c r="W202" s="210"/>
      <c r="X202" s="210"/>
      <c r="Y202" s="210"/>
      <c r="Z202" s="210"/>
      <c r="AA202" s="210"/>
    </row>
    <row r="203" spans="2:27" ht="18.75" customHeight="1" x14ac:dyDescent="0.25">
      <c r="B203" s="210"/>
      <c r="C203" s="210"/>
      <c r="D203" s="210"/>
      <c r="E203" s="210"/>
      <c r="F203" s="210"/>
      <c r="G203" s="210"/>
      <c r="H203" s="210"/>
      <c r="I203" s="210"/>
      <c r="J203" s="210"/>
      <c r="K203" s="210"/>
      <c r="L203" s="210"/>
      <c r="M203" s="210"/>
      <c r="N203" s="210"/>
      <c r="O203" s="210"/>
      <c r="P203" s="214"/>
      <c r="Q203" s="210"/>
      <c r="R203" s="210"/>
      <c r="S203" s="210"/>
      <c r="T203" s="210"/>
      <c r="U203" s="210"/>
      <c r="V203" s="210"/>
      <c r="W203" s="210"/>
      <c r="X203" s="210"/>
      <c r="Y203" s="210"/>
      <c r="Z203" s="210"/>
      <c r="AA203" s="210"/>
    </row>
    <row r="204" spans="2:27" ht="18.75" customHeight="1" x14ac:dyDescent="0.25">
      <c r="B204" s="210"/>
      <c r="C204" s="210"/>
      <c r="D204" s="210"/>
      <c r="E204" s="210"/>
      <c r="F204" s="210"/>
      <c r="G204" s="210"/>
      <c r="H204" s="210"/>
      <c r="I204" s="210"/>
      <c r="J204" s="210"/>
      <c r="K204" s="210"/>
      <c r="L204" s="210"/>
      <c r="M204" s="210"/>
      <c r="N204" s="210"/>
      <c r="O204" s="210"/>
      <c r="P204" s="214"/>
      <c r="Q204" s="210"/>
      <c r="R204" s="210"/>
      <c r="S204" s="210"/>
      <c r="T204" s="210"/>
      <c r="U204" s="210"/>
      <c r="V204" s="210"/>
      <c r="W204" s="210"/>
      <c r="X204" s="210"/>
      <c r="Y204" s="210"/>
      <c r="Z204" s="210"/>
      <c r="AA204" s="210"/>
    </row>
    <row r="205" spans="2:27" ht="18.75" customHeight="1" x14ac:dyDescent="0.25">
      <c r="B205" s="210"/>
      <c r="C205" s="210"/>
      <c r="D205" s="210"/>
      <c r="E205" s="210"/>
      <c r="F205" s="210"/>
      <c r="G205" s="210"/>
      <c r="H205" s="210"/>
      <c r="I205" s="210"/>
      <c r="J205" s="210"/>
      <c r="K205" s="210"/>
      <c r="L205" s="210"/>
      <c r="M205" s="210"/>
      <c r="N205" s="210"/>
      <c r="O205" s="210"/>
      <c r="P205" s="214"/>
      <c r="Q205" s="210"/>
      <c r="R205" s="210"/>
      <c r="S205" s="210"/>
      <c r="T205" s="210"/>
      <c r="U205" s="210"/>
      <c r="V205" s="210"/>
      <c r="W205" s="210"/>
      <c r="X205" s="210"/>
      <c r="Y205" s="210"/>
      <c r="Z205" s="210"/>
      <c r="AA205" s="210"/>
    </row>
    <row r="206" spans="2:27" ht="18.75" customHeight="1" x14ac:dyDescent="0.25">
      <c r="B206" s="210"/>
      <c r="C206" s="210"/>
      <c r="D206" s="210"/>
      <c r="E206" s="210"/>
      <c r="F206" s="210"/>
      <c r="G206" s="210"/>
      <c r="H206" s="210"/>
      <c r="I206" s="210"/>
      <c r="J206" s="210"/>
      <c r="K206" s="210"/>
      <c r="L206" s="210"/>
      <c r="M206" s="210"/>
      <c r="N206" s="210"/>
      <c r="O206" s="210"/>
      <c r="P206" s="214"/>
      <c r="Q206" s="210"/>
      <c r="R206" s="210"/>
      <c r="S206" s="210"/>
      <c r="T206" s="210"/>
      <c r="U206" s="210"/>
      <c r="V206" s="210"/>
      <c r="W206" s="210"/>
      <c r="X206" s="210"/>
      <c r="Y206" s="210"/>
      <c r="Z206" s="210"/>
      <c r="AA206" s="210"/>
    </row>
    <row r="207" spans="2:27" ht="18.75" customHeight="1" x14ac:dyDescent="0.25">
      <c r="B207" s="210"/>
      <c r="C207" s="210"/>
      <c r="D207" s="210"/>
      <c r="E207" s="210"/>
      <c r="F207" s="210"/>
      <c r="G207" s="210"/>
      <c r="H207" s="210"/>
      <c r="I207" s="210"/>
      <c r="J207" s="210"/>
      <c r="K207" s="210"/>
      <c r="L207" s="210"/>
      <c r="M207" s="210"/>
      <c r="N207" s="210"/>
      <c r="O207" s="210"/>
      <c r="P207" s="214"/>
      <c r="Q207" s="210"/>
      <c r="R207" s="210"/>
      <c r="S207" s="210"/>
      <c r="T207" s="210"/>
      <c r="U207" s="210"/>
      <c r="V207" s="210"/>
      <c r="W207" s="210"/>
      <c r="X207" s="210"/>
      <c r="Y207" s="210"/>
      <c r="Z207" s="210"/>
      <c r="AA207" s="210"/>
    </row>
    <row r="208" spans="2:27" ht="18.75" customHeight="1" x14ac:dyDescent="0.25">
      <c r="B208" s="210"/>
      <c r="C208" s="210"/>
      <c r="D208" s="210"/>
      <c r="E208" s="210"/>
      <c r="F208" s="210"/>
      <c r="G208" s="210"/>
      <c r="H208" s="210"/>
      <c r="I208" s="210"/>
      <c r="J208" s="210"/>
      <c r="K208" s="210"/>
      <c r="L208" s="210"/>
      <c r="M208" s="210"/>
      <c r="N208" s="210"/>
      <c r="O208" s="210"/>
      <c r="P208" s="214"/>
      <c r="Q208" s="210"/>
      <c r="R208" s="210"/>
      <c r="S208" s="210"/>
      <c r="T208" s="210"/>
      <c r="U208" s="210"/>
      <c r="V208" s="210"/>
      <c r="W208" s="210"/>
      <c r="X208" s="210"/>
      <c r="Y208" s="210"/>
      <c r="Z208" s="210"/>
      <c r="AA208" s="210"/>
    </row>
    <row r="209" spans="2:27" ht="18.75" customHeight="1" x14ac:dyDescent="0.25">
      <c r="B209" s="210"/>
      <c r="C209" s="210"/>
      <c r="D209" s="210"/>
      <c r="E209" s="210"/>
      <c r="F209" s="210"/>
      <c r="G209" s="210"/>
      <c r="H209" s="210"/>
      <c r="I209" s="210"/>
      <c r="J209" s="210"/>
      <c r="K209" s="210"/>
      <c r="L209" s="210"/>
      <c r="M209" s="210"/>
      <c r="N209" s="210"/>
      <c r="O209" s="210"/>
      <c r="P209" s="214"/>
      <c r="Q209" s="210"/>
      <c r="R209" s="210"/>
      <c r="S209" s="210"/>
      <c r="T209" s="210"/>
      <c r="U209" s="210"/>
      <c r="V209" s="210"/>
      <c r="W209" s="210"/>
      <c r="X209" s="210"/>
      <c r="Y209" s="210"/>
      <c r="Z209" s="210"/>
      <c r="AA209" s="210"/>
    </row>
    <row r="210" spans="2:27" ht="18.75" customHeight="1" x14ac:dyDescent="0.25">
      <c r="B210" s="210"/>
      <c r="C210" s="210"/>
      <c r="D210" s="210"/>
      <c r="E210" s="210"/>
      <c r="F210" s="210"/>
      <c r="G210" s="210"/>
      <c r="H210" s="210"/>
      <c r="I210" s="210"/>
      <c r="J210" s="210"/>
      <c r="K210" s="210"/>
      <c r="L210" s="210"/>
      <c r="M210" s="210"/>
      <c r="N210" s="210"/>
      <c r="O210" s="210"/>
      <c r="P210" s="214"/>
      <c r="Q210" s="210"/>
      <c r="R210" s="210"/>
      <c r="S210" s="210"/>
      <c r="T210" s="210"/>
      <c r="U210" s="210"/>
      <c r="V210" s="210"/>
      <c r="W210" s="210"/>
      <c r="X210" s="210"/>
      <c r="Y210" s="210"/>
      <c r="Z210" s="210"/>
      <c r="AA210" s="210"/>
    </row>
    <row r="211" spans="2:27" ht="18.75" customHeight="1" x14ac:dyDescent="0.25">
      <c r="B211" s="210"/>
      <c r="C211" s="210"/>
      <c r="D211" s="210"/>
      <c r="E211" s="210"/>
      <c r="F211" s="210"/>
      <c r="G211" s="210"/>
      <c r="H211" s="210"/>
      <c r="I211" s="210"/>
      <c r="J211" s="210"/>
      <c r="K211" s="210"/>
      <c r="L211" s="210"/>
      <c r="M211" s="210"/>
      <c r="N211" s="210"/>
      <c r="O211" s="210"/>
      <c r="P211" s="214"/>
      <c r="Q211" s="210"/>
      <c r="R211" s="210"/>
      <c r="S211" s="210"/>
      <c r="T211" s="210"/>
      <c r="U211" s="210"/>
      <c r="V211" s="210"/>
      <c r="W211" s="210"/>
      <c r="X211" s="210"/>
      <c r="Y211" s="210"/>
      <c r="Z211" s="210"/>
      <c r="AA211" s="210"/>
    </row>
    <row r="212" spans="2:27" ht="18.75" customHeight="1" x14ac:dyDescent="0.25">
      <c r="B212" s="210"/>
      <c r="C212" s="210"/>
      <c r="D212" s="210"/>
      <c r="E212" s="210"/>
      <c r="F212" s="210"/>
      <c r="G212" s="210"/>
      <c r="H212" s="210"/>
      <c r="I212" s="210"/>
      <c r="J212" s="210"/>
      <c r="K212" s="210"/>
      <c r="L212" s="210"/>
      <c r="M212" s="210"/>
      <c r="N212" s="210"/>
      <c r="O212" s="210"/>
      <c r="P212" s="214"/>
      <c r="Q212" s="210"/>
      <c r="R212" s="210"/>
      <c r="S212" s="210"/>
      <c r="T212" s="210"/>
      <c r="U212" s="210"/>
      <c r="V212" s="210"/>
      <c r="W212" s="210"/>
      <c r="X212" s="210"/>
      <c r="Y212" s="210"/>
      <c r="Z212" s="210"/>
      <c r="AA212" s="210"/>
    </row>
    <row r="213" spans="2:27" ht="18.75" customHeight="1" x14ac:dyDescent="0.25">
      <c r="B213" s="210"/>
      <c r="C213" s="210"/>
      <c r="D213" s="210"/>
      <c r="E213" s="210"/>
      <c r="F213" s="210"/>
      <c r="G213" s="210"/>
      <c r="H213" s="210"/>
      <c r="I213" s="210"/>
      <c r="J213" s="210"/>
      <c r="K213" s="210"/>
      <c r="L213" s="210"/>
      <c r="M213" s="210"/>
      <c r="N213" s="210"/>
      <c r="O213" s="210"/>
      <c r="P213" s="214"/>
      <c r="Q213" s="210"/>
      <c r="R213" s="210"/>
      <c r="S213" s="210"/>
      <c r="T213" s="210"/>
      <c r="U213" s="210"/>
      <c r="V213" s="210"/>
      <c r="W213" s="210"/>
      <c r="X213" s="210"/>
      <c r="Y213" s="210"/>
      <c r="Z213" s="210"/>
      <c r="AA213" s="210"/>
    </row>
    <row r="214" spans="2:27" ht="18.75" customHeight="1" x14ac:dyDescent="0.25">
      <c r="B214" s="210"/>
      <c r="C214" s="210"/>
      <c r="D214" s="210"/>
      <c r="E214" s="210"/>
      <c r="F214" s="210"/>
      <c r="G214" s="210"/>
      <c r="H214" s="210"/>
      <c r="I214" s="210"/>
      <c r="J214" s="210"/>
      <c r="K214" s="210"/>
      <c r="L214" s="210"/>
      <c r="M214" s="210"/>
      <c r="N214" s="210"/>
      <c r="O214" s="210"/>
      <c r="P214" s="214"/>
      <c r="Q214" s="210"/>
      <c r="R214" s="210"/>
      <c r="S214" s="210"/>
      <c r="T214" s="210"/>
      <c r="U214" s="210"/>
      <c r="V214" s="210"/>
      <c r="W214" s="210"/>
      <c r="X214" s="210"/>
      <c r="Y214" s="210"/>
      <c r="Z214" s="210"/>
      <c r="AA214" s="210"/>
    </row>
    <row r="215" spans="2:27" ht="18.75" customHeight="1" x14ac:dyDescent="0.25">
      <c r="B215" s="210"/>
      <c r="C215" s="210"/>
      <c r="D215" s="210"/>
      <c r="E215" s="210"/>
      <c r="F215" s="210"/>
      <c r="G215" s="210"/>
      <c r="H215" s="210"/>
      <c r="I215" s="210"/>
      <c r="J215" s="210"/>
      <c r="K215" s="210"/>
      <c r="L215" s="210"/>
      <c r="M215" s="210"/>
      <c r="N215" s="210"/>
      <c r="O215" s="210"/>
      <c r="P215" s="214"/>
      <c r="Q215" s="210"/>
      <c r="R215" s="210"/>
      <c r="S215" s="210"/>
      <c r="T215" s="210"/>
      <c r="U215" s="210"/>
      <c r="V215" s="210"/>
      <c r="W215" s="210"/>
      <c r="X215" s="210"/>
      <c r="Y215" s="210"/>
      <c r="Z215" s="210"/>
      <c r="AA215" s="210"/>
    </row>
    <row r="216" spans="2:27" ht="18.75" customHeight="1" x14ac:dyDescent="0.25">
      <c r="B216" s="210"/>
      <c r="C216" s="210"/>
      <c r="D216" s="210"/>
      <c r="E216" s="210"/>
      <c r="F216" s="210"/>
      <c r="G216" s="210"/>
      <c r="H216" s="210"/>
      <c r="I216" s="210"/>
      <c r="J216" s="210"/>
      <c r="K216" s="210"/>
      <c r="L216" s="210"/>
      <c r="M216" s="210"/>
      <c r="N216" s="210"/>
      <c r="O216" s="210"/>
      <c r="P216" s="214"/>
      <c r="Q216" s="210"/>
      <c r="R216" s="210"/>
      <c r="S216" s="210"/>
      <c r="T216" s="210"/>
      <c r="U216" s="210"/>
      <c r="V216" s="210"/>
      <c r="W216" s="210"/>
      <c r="X216" s="210"/>
      <c r="Y216" s="210"/>
      <c r="Z216" s="210"/>
      <c r="AA216" s="210"/>
    </row>
    <row r="217" spans="2:27" ht="18.75" customHeight="1" x14ac:dyDescent="0.25">
      <c r="B217" s="210"/>
      <c r="C217" s="210"/>
      <c r="D217" s="210"/>
      <c r="E217" s="210"/>
      <c r="F217" s="210"/>
      <c r="G217" s="210"/>
      <c r="H217" s="210"/>
      <c r="I217" s="210"/>
      <c r="J217" s="210"/>
      <c r="K217" s="210"/>
      <c r="L217" s="210"/>
      <c r="M217" s="210"/>
      <c r="N217" s="210"/>
      <c r="O217" s="210"/>
      <c r="P217" s="214"/>
      <c r="Q217" s="210"/>
      <c r="R217" s="210"/>
      <c r="S217" s="210"/>
      <c r="T217" s="210"/>
      <c r="U217" s="210"/>
      <c r="V217" s="210"/>
      <c r="W217" s="210"/>
      <c r="X217" s="210"/>
      <c r="Y217" s="210"/>
      <c r="Z217" s="210"/>
      <c r="AA217" s="210"/>
    </row>
    <row r="218" spans="2:27" ht="18.75" customHeight="1" x14ac:dyDescent="0.25">
      <c r="B218" s="210"/>
      <c r="C218" s="210"/>
      <c r="D218" s="210"/>
      <c r="E218" s="210"/>
      <c r="F218" s="210"/>
      <c r="G218" s="210"/>
      <c r="H218" s="210"/>
      <c r="I218" s="210"/>
      <c r="J218" s="210"/>
      <c r="K218" s="210"/>
      <c r="L218" s="210"/>
      <c r="M218" s="210"/>
      <c r="N218" s="210"/>
      <c r="O218" s="210"/>
      <c r="P218" s="214"/>
      <c r="Q218" s="210"/>
      <c r="R218" s="210"/>
      <c r="S218" s="210"/>
      <c r="T218" s="210"/>
      <c r="U218" s="210"/>
      <c r="V218" s="210"/>
      <c r="W218" s="210"/>
      <c r="X218" s="210"/>
      <c r="Y218" s="210"/>
      <c r="Z218" s="210"/>
      <c r="AA218" s="210"/>
    </row>
    <row r="219" spans="2:27" ht="18.75" customHeight="1" x14ac:dyDescent="0.25">
      <c r="B219" s="210"/>
      <c r="C219" s="210"/>
      <c r="D219" s="210"/>
      <c r="E219" s="210"/>
      <c r="F219" s="210"/>
      <c r="G219" s="210"/>
      <c r="H219" s="210"/>
      <c r="I219" s="210"/>
      <c r="J219" s="210"/>
      <c r="K219" s="210"/>
      <c r="L219" s="210"/>
      <c r="M219" s="210"/>
      <c r="N219" s="210"/>
      <c r="O219" s="210"/>
      <c r="P219" s="214"/>
      <c r="Q219" s="210"/>
      <c r="R219" s="210"/>
      <c r="S219" s="210"/>
      <c r="T219" s="210"/>
      <c r="U219" s="210"/>
      <c r="V219" s="210"/>
      <c r="W219" s="210"/>
      <c r="X219" s="210"/>
      <c r="Y219" s="210"/>
      <c r="Z219" s="210"/>
      <c r="AA219" s="210"/>
    </row>
    <row r="220" spans="2:27" ht="18.75" customHeight="1" x14ac:dyDescent="0.25">
      <c r="B220" s="210"/>
      <c r="C220" s="210"/>
      <c r="D220" s="210"/>
      <c r="E220" s="210"/>
      <c r="F220" s="210"/>
      <c r="G220" s="210"/>
      <c r="H220" s="210"/>
      <c r="I220" s="210"/>
      <c r="J220" s="210"/>
      <c r="K220" s="210"/>
      <c r="L220" s="210"/>
      <c r="M220" s="210"/>
      <c r="N220" s="210"/>
      <c r="O220" s="210"/>
      <c r="P220" s="214"/>
      <c r="Q220" s="210"/>
      <c r="R220" s="210"/>
      <c r="S220" s="210"/>
      <c r="T220" s="210"/>
      <c r="U220" s="210"/>
      <c r="V220" s="210"/>
      <c r="W220" s="210"/>
      <c r="X220" s="210"/>
      <c r="Y220" s="210"/>
      <c r="Z220" s="210"/>
      <c r="AA220" s="210"/>
    </row>
    <row r="221" spans="2:27" ht="18.75" customHeight="1" x14ac:dyDescent="0.25">
      <c r="B221" s="210"/>
      <c r="C221" s="210"/>
      <c r="D221" s="210"/>
      <c r="E221" s="210"/>
      <c r="F221" s="210"/>
      <c r="G221" s="210"/>
      <c r="H221" s="210"/>
      <c r="I221" s="210"/>
      <c r="J221" s="210"/>
      <c r="K221" s="210"/>
      <c r="L221" s="210"/>
      <c r="M221" s="210"/>
      <c r="N221" s="210"/>
      <c r="O221" s="210"/>
      <c r="P221" s="214"/>
      <c r="Q221" s="210"/>
      <c r="R221" s="210"/>
      <c r="S221" s="210"/>
      <c r="T221" s="210"/>
      <c r="U221" s="210"/>
      <c r="V221" s="210"/>
      <c r="W221" s="210"/>
      <c r="X221" s="210"/>
      <c r="Y221" s="210"/>
      <c r="Z221" s="210"/>
      <c r="AA221" s="210"/>
    </row>
    <row r="222" spans="2:27" ht="18.75" customHeight="1" x14ac:dyDescent="0.25">
      <c r="B222" s="210"/>
      <c r="C222" s="210"/>
      <c r="D222" s="210"/>
      <c r="E222" s="210"/>
      <c r="F222" s="210"/>
      <c r="G222" s="210"/>
      <c r="H222" s="210"/>
      <c r="I222" s="210"/>
      <c r="J222" s="210"/>
      <c r="K222" s="210"/>
      <c r="L222" s="210"/>
      <c r="M222" s="210"/>
      <c r="N222" s="210"/>
      <c r="O222" s="210"/>
      <c r="P222" s="214"/>
      <c r="Q222" s="210"/>
      <c r="R222" s="210"/>
      <c r="S222" s="210"/>
      <c r="T222" s="210"/>
      <c r="U222" s="210"/>
      <c r="V222" s="210"/>
      <c r="W222" s="210"/>
      <c r="X222" s="210"/>
      <c r="Y222" s="210"/>
      <c r="Z222" s="210"/>
      <c r="AA222" s="210"/>
    </row>
    <row r="223" spans="2:27" ht="18.75" customHeight="1" x14ac:dyDescent="0.25">
      <c r="B223" s="210"/>
      <c r="C223" s="210"/>
      <c r="D223" s="210"/>
      <c r="E223" s="210"/>
      <c r="F223" s="210"/>
      <c r="G223" s="210"/>
      <c r="H223" s="210"/>
      <c r="I223" s="210"/>
      <c r="J223" s="210"/>
      <c r="K223" s="210"/>
      <c r="L223" s="210"/>
      <c r="M223" s="210"/>
      <c r="N223" s="210"/>
      <c r="O223" s="210"/>
      <c r="P223" s="214"/>
      <c r="Q223" s="210"/>
      <c r="R223" s="210"/>
      <c r="S223" s="210"/>
      <c r="T223" s="210"/>
      <c r="U223" s="210"/>
      <c r="V223" s="210"/>
      <c r="W223" s="210"/>
      <c r="X223" s="210"/>
      <c r="Y223" s="210"/>
      <c r="Z223" s="210"/>
      <c r="AA223" s="210"/>
    </row>
    <row r="224" spans="2:27" ht="18.75" customHeight="1" x14ac:dyDescent="0.25">
      <c r="B224" s="210"/>
      <c r="C224" s="210"/>
      <c r="D224" s="210"/>
      <c r="E224" s="210"/>
      <c r="F224" s="210"/>
      <c r="G224" s="210"/>
      <c r="H224" s="210"/>
      <c r="I224" s="210"/>
      <c r="J224" s="210"/>
      <c r="K224" s="210"/>
      <c r="L224" s="210"/>
      <c r="M224" s="210"/>
      <c r="N224" s="210"/>
      <c r="O224" s="210"/>
      <c r="P224" s="214"/>
      <c r="Q224" s="210"/>
      <c r="R224" s="210"/>
      <c r="S224" s="210"/>
      <c r="T224" s="210"/>
      <c r="U224" s="210"/>
      <c r="V224" s="210"/>
      <c r="W224" s="210"/>
      <c r="X224" s="210"/>
      <c r="Y224" s="210"/>
      <c r="Z224" s="210"/>
      <c r="AA224" s="210"/>
    </row>
  </sheetData>
  <autoFilter ref="B7:AA72">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autoFilter>
  <mergeCells count="140">
    <mergeCell ref="C45:G45"/>
    <mergeCell ref="H45:Y45"/>
    <mergeCell ref="C46:G46"/>
    <mergeCell ref="H46:Y46"/>
    <mergeCell ref="C47:G47"/>
    <mergeCell ref="H47:Y47"/>
    <mergeCell ref="H68:Y68"/>
    <mergeCell ref="C65:G65"/>
    <mergeCell ref="H65:Y65"/>
    <mergeCell ref="C66:G66"/>
    <mergeCell ref="H66:Y66"/>
    <mergeCell ref="C29:G29"/>
    <mergeCell ref="H29:Y29"/>
    <mergeCell ref="C64:G64"/>
    <mergeCell ref="H64:Y64"/>
    <mergeCell ref="C61:G61"/>
    <mergeCell ref="H61:Y61"/>
    <mergeCell ref="C62:G62"/>
    <mergeCell ref="H62:Y62"/>
    <mergeCell ref="C34:G34"/>
    <mergeCell ref="H34:Y34"/>
    <mergeCell ref="C37:G37"/>
    <mergeCell ref="H37:Y37"/>
    <mergeCell ref="H33:Y33"/>
    <mergeCell ref="C59:G59"/>
    <mergeCell ref="H59:Y59"/>
    <mergeCell ref="C60:G60"/>
    <mergeCell ref="H60:Y60"/>
    <mergeCell ref="C44:G44"/>
    <mergeCell ref="H44:Y44"/>
    <mergeCell ref="H43:Y43"/>
    <mergeCell ref="H40:Y40"/>
    <mergeCell ref="C36:G36"/>
    <mergeCell ref="H36:Y36"/>
    <mergeCell ref="C35:G35"/>
    <mergeCell ref="H35:Y35"/>
    <mergeCell ref="C38:G38"/>
    <mergeCell ref="H38:Y38"/>
    <mergeCell ref="C39:G39"/>
    <mergeCell ref="H39:Y39"/>
    <mergeCell ref="C41:G41"/>
    <mergeCell ref="H41:Y41"/>
    <mergeCell ref="C42:G42"/>
    <mergeCell ref="H42:Y42"/>
    <mergeCell ref="C12:G12"/>
    <mergeCell ref="C13:G13"/>
    <mergeCell ref="C19:G19"/>
    <mergeCell ref="C20:G20"/>
    <mergeCell ref="H24:Y24"/>
    <mergeCell ref="C51:G51"/>
    <mergeCell ref="C52:G52"/>
    <mergeCell ref="C14:G14"/>
    <mergeCell ref="H14:Y14"/>
    <mergeCell ref="C15:G15"/>
    <mergeCell ref="H15:Y15"/>
    <mergeCell ref="C17:G17"/>
    <mergeCell ref="H17:Y17"/>
    <mergeCell ref="C18:G18"/>
    <mergeCell ref="H18:Y18"/>
    <mergeCell ref="C22:G22"/>
    <mergeCell ref="H22:Y22"/>
    <mergeCell ref="C16:G16"/>
    <mergeCell ref="H16:Y16"/>
    <mergeCell ref="C23:G23"/>
    <mergeCell ref="H23:Y23"/>
    <mergeCell ref="C21:G21"/>
    <mergeCell ref="H31:Y31"/>
    <mergeCell ref="H32:Y32"/>
    <mergeCell ref="C32:G32"/>
    <mergeCell ref="C43:G43"/>
    <mergeCell ref="C40:G40"/>
    <mergeCell ref="C33:G33"/>
    <mergeCell ref="H30:Y30"/>
    <mergeCell ref="C28:G28"/>
    <mergeCell ref="Z7:AA7"/>
    <mergeCell ref="C7:G7"/>
    <mergeCell ref="C53:G53"/>
    <mergeCell ref="H7:Y7"/>
    <mergeCell ref="H8:Y8"/>
    <mergeCell ref="H9:Y9"/>
    <mergeCell ref="H10:Y10"/>
    <mergeCell ref="H11:Y11"/>
    <mergeCell ref="H12:Y12"/>
    <mergeCell ref="H13:Y13"/>
    <mergeCell ref="H19:Y19"/>
    <mergeCell ref="H20:Y20"/>
    <mergeCell ref="H21:Y21"/>
    <mergeCell ref="H28:Y28"/>
    <mergeCell ref="C8:G8"/>
    <mergeCell ref="C9:G9"/>
    <mergeCell ref="C10:G10"/>
    <mergeCell ref="C11:G11"/>
    <mergeCell ref="B74:Z74"/>
    <mergeCell ref="H25:Y25"/>
    <mergeCell ref="H26:Y26"/>
    <mergeCell ref="H27:Y27"/>
    <mergeCell ref="H48:Y48"/>
    <mergeCell ref="H49:Y49"/>
    <mergeCell ref="H50:Y50"/>
    <mergeCell ref="H51:Y51"/>
    <mergeCell ref="H52:Y52"/>
    <mergeCell ref="H55:Y55"/>
    <mergeCell ref="H53:Y53"/>
    <mergeCell ref="H54:Y54"/>
    <mergeCell ref="C72:G72"/>
    <mergeCell ref="H72:Y72"/>
    <mergeCell ref="C54:G54"/>
    <mergeCell ref="C30:G30"/>
    <mergeCell ref="C56:G56"/>
    <mergeCell ref="C57:G57"/>
    <mergeCell ref="C58:G58"/>
    <mergeCell ref="C48:G48"/>
    <mergeCell ref="C49:G49"/>
    <mergeCell ref="C50:G50"/>
    <mergeCell ref="C55:G55"/>
    <mergeCell ref="C31:G31"/>
    <mergeCell ref="AC1:AZ1"/>
    <mergeCell ref="B5:Z5"/>
    <mergeCell ref="A1:R1"/>
    <mergeCell ref="A2:AA2"/>
    <mergeCell ref="B3:I3"/>
    <mergeCell ref="J3:T3"/>
    <mergeCell ref="H56:Y56"/>
    <mergeCell ref="H57:Y57"/>
    <mergeCell ref="C71:G71"/>
    <mergeCell ref="H58:Y58"/>
    <mergeCell ref="H69:Y69"/>
    <mergeCell ref="H70:Y70"/>
    <mergeCell ref="H71:Y71"/>
    <mergeCell ref="C69:G69"/>
    <mergeCell ref="C70:G70"/>
    <mergeCell ref="C63:G63"/>
    <mergeCell ref="H63:Y63"/>
    <mergeCell ref="C67:G67"/>
    <mergeCell ref="H67:Y67"/>
    <mergeCell ref="C68:G68"/>
    <mergeCell ref="C25:G25"/>
    <mergeCell ref="C24:G24"/>
    <mergeCell ref="C26:G26"/>
    <mergeCell ref="C27:G27"/>
  </mergeCells>
  <conditionalFormatting sqref="AC6:AD7">
    <cfRule type="iconSet" priority="144">
      <iconSet iconSet="3Symbols2" showValue="0">
        <cfvo type="percent" val="0"/>
        <cfvo type="percent" val="33"/>
        <cfvo type="percent" val="67"/>
      </iconSet>
    </cfRule>
  </conditionalFormatting>
  <conditionalFormatting sqref="H8:Y13 H16:Y22 H69:Y72 H30:Y32 H24:Y28 H35:Y43 H48:Y58">
    <cfRule type="expression" dxfId="92" priority="127">
      <formula>$B8=1</formula>
    </cfRule>
  </conditionalFormatting>
  <conditionalFormatting sqref="C8:C13 C16:C22 C43 C69:C72 C48:C58 C30:C32 C24:C28 C35:C36 C38">
    <cfRule type="expression" dxfId="91" priority="78">
      <formula>$B8=1</formula>
    </cfRule>
  </conditionalFormatting>
  <conditionalFormatting sqref="B7">
    <cfRule type="iconSet" priority="72">
      <iconSet iconSet="3Symbols2" showValue="0">
        <cfvo type="percent" val="0"/>
        <cfvo type="percent" val="0" gte="0"/>
        <cfvo type="percent" val="1"/>
      </iconSet>
    </cfRule>
  </conditionalFormatting>
  <conditionalFormatting sqref="H14:Y15">
    <cfRule type="expression" dxfId="90" priority="69">
      <formula>$B14=1</formula>
    </cfRule>
  </conditionalFormatting>
  <conditionalFormatting sqref="C14:C15">
    <cfRule type="expression" dxfId="89" priority="68">
      <formula>$B14=1</formula>
    </cfRule>
  </conditionalFormatting>
  <conditionalFormatting sqref="AA8:AA22 AA35:AA36 AA69:AA72 AA30:AA32 AA24:AA28 AA38 AA43:AA58">
    <cfRule type="iconSet" priority="443">
      <iconSet iconSet="3Symbols2" showValue="0">
        <cfvo type="percent" val="0"/>
        <cfvo type="percent" val="0" gte="0"/>
        <cfvo type="percent" val="1"/>
      </iconSet>
    </cfRule>
  </conditionalFormatting>
  <conditionalFormatting sqref="B8:B44 B48:B72">
    <cfRule type="iconSet" priority="445">
      <iconSet iconSet="3Symbols2" showValue="0">
        <cfvo type="percent" val="0"/>
        <cfvo type="percent" val="0" gte="0"/>
        <cfvo type="percent" val="1"/>
      </iconSet>
    </cfRule>
  </conditionalFormatting>
  <conditionalFormatting sqref="C39:C42">
    <cfRule type="expression" dxfId="88" priority="60">
      <formula>$B39=1</formula>
    </cfRule>
  </conditionalFormatting>
  <conditionalFormatting sqref="AA39:AA42">
    <cfRule type="iconSet" priority="62">
      <iconSet iconSet="3Symbols2" showValue="0">
        <cfvo type="percent" val="0"/>
        <cfvo type="percent" val="0" gte="0"/>
        <cfvo type="percent" val="1"/>
      </iconSet>
    </cfRule>
  </conditionalFormatting>
  <conditionalFormatting sqref="H33:Y33">
    <cfRule type="expression" dxfId="87" priority="57">
      <formula>$B33=1</formula>
    </cfRule>
  </conditionalFormatting>
  <conditionalFormatting sqref="C33">
    <cfRule type="expression" dxfId="86" priority="56">
      <formula>$B33=1</formula>
    </cfRule>
  </conditionalFormatting>
  <conditionalFormatting sqref="AA33">
    <cfRule type="iconSet" priority="58">
      <iconSet iconSet="3Symbols2" showValue="0">
        <cfvo type="percent" val="0"/>
        <cfvo type="percent" val="0" gte="0"/>
        <cfvo type="percent" val="1"/>
      </iconSet>
    </cfRule>
  </conditionalFormatting>
  <conditionalFormatting sqref="H59:Y60">
    <cfRule type="expression" dxfId="85" priority="53">
      <formula>$B59=1</formula>
    </cfRule>
  </conditionalFormatting>
  <conditionalFormatting sqref="C59:C60">
    <cfRule type="expression" dxfId="84" priority="52">
      <formula>$B59=1</formula>
    </cfRule>
  </conditionalFormatting>
  <conditionalFormatting sqref="AA59:AA60">
    <cfRule type="iconSet" priority="54">
      <iconSet iconSet="3Symbols2" showValue="0">
        <cfvo type="percent" val="0"/>
        <cfvo type="percent" val="0" gte="0"/>
        <cfvo type="percent" val="1"/>
      </iconSet>
    </cfRule>
  </conditionalFormatting>
  <conditionalFormatting sqref="H44:Y44">
    <cfRule type="expression" dxfId="83" priority="49">
      <formula>$B44=1</formula>
    </cfRule>
  </conditionalFormatting>
  <conditionalFormatting sqref="C44">
    <cfRule type="expression" dxfId="82" priority="48">
      <formula>$B44=1</formula>
    </cfRule>
  </conditionalFormatting>
  <conditionalFormatting sqref="H63:Y63">
    <cfRule type="expression" dxfId="81" priority="45">
      <formula>$B63=1</formula>
    </cfRule>
  </conditionalFormatting>
  <conditionalFormatting sqref="AA63">
    <cfRule type="iconSet" priority="46">
      <iconSet iconSet="3Symbols2" showValue="0">
        <cfvo type="percent" val="0"/>
        <cfvo type="percent" val="0" gte="0"/>
        <cfvo type="percent" val="1"/>
      </iconSet>
    </cfRule>
  </conditionalFormatting>
  <conditionalFormatting sqref="H29:Y29">
    <cfRule type="expression" dxfId="80" priority="41">
      <formula>$B29=1</formula>
    </cfRule>
  </conditionalFormatting>
  <conditionalFormatting sqref="C29">
    <cfRule type="expression" dxfId="79" priority="40">
      <formula>$B29=1</formula>
    </cfRule>
  </conditionalFormatting>
  <conditionalFormatting sqref="AA29">
    <cfRule type="iconSet" priority="42">
      <iconSet iconSet="3Symbols2" showValue="0">
        <cfvo type="percent" val="0"/>
        <cfvo type="percent" val="0" gte="0"/>
        <cfvo type="percent" val="1"/>
      </iconSet>
    </cfRule>
  </conditionalFormatting>
  <conditionalFormatting sqref="H64:Y64">
    <cfRule type="expression" dxfId="78" priority="37">
      <formula>$B64=1</formula>
    </cfRule>
  </conditionalFormatting>
  <conditionalFormatting sqref="AA64:AA66">
    <cfRule type="iconSet" priority="38">
      <iconSet iconSet="3Symbols2" showValue="0">
        <cfvo type="percent" val="0"/>
        <cfvo type="percent" val="0" gte="0"/>
        <cfvo type="percent" val="1"/>
      </iconSet>
    </cfRule>
  </conditionalFormatting>
  <conditionalFormatting sqref="H61:Y61">
    <cfRule type="expression" dxfId="77" priority="33">
      <formula>$B61=1</formula>
    </cfRule>
  </conditionalFormatting>
  <conditionalFormatting sqref="C61:C64">
    <cfRule type="expression" dxfId="76" priority="32">
      <formula>$B61=1</formula>
    </cfRule>
  </conditionalFormatting>
  <conditionalFormatting sqref="AA61">
    <cfRule type="iconSet" priority="34">
      <iconSet iconSet="3Symbols2" showValue="0">
        <cfvo type="percent" val="0"/>
        <cfvo type="percent" val="0" gte="0"/>
        <cfvo type="percent" val="1"/>
      </iconSet>
    </cfRule>
  </conditionalFormatting>
  <conditionalFormatting sqref="H62:Y62">
    <cfRule type="expression" dxfId="75" priority="29">
      <formula>$B62=1</formula>
    </cfRule>
  </conditionalFormatting>
  <conditionalFormatting sqref="AA62">
    <cfRule type="iconSet" priority="30">
      <iconSet iconSet="3Symbols2" showValue="0">
        <cfvo type="percent" val="0"/>
        <cfvo type="percent" val="0" gte="0"/>
        <cfvo type="percent" val="1"/>
      </iconSet>
    </cfRule>
  </conditionalFormatting>
  <conditionalFormatting sqref="AA67">
    <cfRule type="iconSet" priority="26">
      <iconSet iconSet="3Symbols2" showValue="0">
        <cfvo type="percent" val="0"/>
        <cfvo type="percent" val="0" gte="0"/>
        <cfvo type="percent" val="1"/>
      </iconSet>
    </cfRule>
  </conditionalFormatting>
  <conditionalFormatting sqref="AA68">
    <cfRule type="iconSet" priority="23">
      <iconSet iconSet="3Symbols2" showValue="0">
        <cfvo type="percent" val="0"/>
        <cfvo type="percent" val="0" gte="0"/>
        <cfvo type="percent" val="1"/>
      </iconSet>
    </cfRule>
  </conditionalFormatting>
  <conditionalFormatting sqref="C67:C68">
    <cfRule type="expression" dxfId="74" priority="21">
      <formula>$B67=1</formula>
    </cfRule>
  </conditionalFormatting>
  <conditionalFormatting sqref="H67:Y68">
    <cfRule type="expression" dxfId="73" priority="20">
      <formula>$B67=1</formula>
    </cfRule>
  </conditionalFormatting>
  <conditionalFormatting sqref="C65:C66">
    <cfRule type="expression" dxfId="72" priority="17">
      <formula>$B65=1</formula>
    </cfRule>
  </conditionalFormatting>
  <conditionalFormatting sqref="H65:Y66">
    <cfRule type="expression" dxfId="71" priority="16">
      <formula>$B65=1</formula>
    </cfRule>
  </conditionalFormatting>
  <conditionalFormatting sqref="H23:Y23">
    <cfRule type="expression" dxfId="70" priority="13">
      <formula>$B23=1</formula>
    </cfRule>
  </conditionalFormatting>
  <conditionalFormatting sqref="C23">
    <cfRule type="expression" dxfId="69" priority="12">
      <formula>$B23=1</formula>
    </cfRule>
  </conditionalFormatting>
  <conditionalFormatting sqref="AA23">
    <cfRule type="iconSet" priority="14">
      <iconSet iconSet="3Symbols2" showValue="0">
        <cfvo type="percent" val="0"/>
        <cfvo type="percent" val="0" gte="0"/>
        <cfvo type="percent" val="1"/>
      </iconSet>
    </cfRule>
  </conditionalFormatting>
  <conditionalFormatting sqref="H34:Y34">
    <cfRule type="expression" dxfId="68" priority="9">
      <formula>$B34=1</formula>
    </cfRule>
  </conditionalFormatting>
  <conditionalFormatting sqref="C34">
    <cfRule type="expression" dxfId="67" priority="8">
      <formula>$B34=1</formula>
    </cfRule>
  </conditionalFormatting>
  <conditionalFormatting sqref="AA34">
    <cfRule type="iconSet" priority="10">
      <iconSet iconSet="3Symbols2" showValue="0">
        <cfvo type="percent" val="0"/>
        <cfvo type="percent" val="0" gte="0"/>
        <cfvo type="percent" val="1"/>
      </iconSet>
    </cfRule>
  </conditionalFormatting>
  <conditionalFormatting sqref="C37">
    <cfRule type="expression" dxfId="66" priority="5">
      <formula>$B37=1</formula>
    </cfRule>
  </conditionalFormatting>
  <conditionalFormatting sqref="AA37">
    <cfRule type="iconSet" priority="7">
      <iconSet iconSet="3Symbols2" showValue="0">
        <cfvo type="percent" val="0"/>
        <cfvo type="percent" val="0" gte="0"/>
        <cfvo type="percent" val="1"/>
      </iconSet>
    </cfRule>
  </conditionalFormatting>
  <conditionalFormatting sqref="H45:Y47">
    <cfRule type="expression" dxfId="65" priority="2">
      <formula>$B45=1</formula>
    </cfRule>
  </conditionalFormatting>
  <conditionalFormatting sqref="C45:C47">
    <cfRule type="expression" dxfId="64" priority="1">
      <formula>$B45=1</formula>
    </cfRule>
  </conditionalFormatting>
  <conditionalFormatting sqref="B45:B47">
    <cfRule type="iconSet" priority="3">
      <iconSet iconSet="3Symbols2" showValue="0">
        <cfvo type="percent" val="0"/>
        <cfvo type="percent" val="0" gte="0"/>
        <cfvo type="percent" val="1"/>
      </iconSet>
    </cfRule>
  </conditionalFormatting>
  <pageMargins left="0.23622047244094491" right="0.23622047244094491" top="0.74803149606299213" bottom="0.74803149606299213" header="0.31496062992125984" footer="0"/>
  <pageSetup paperSize="9" orientation="portrait" r:id="rId1"/>
  <headerFooter alignWithMargins="0">
    <oddHeader>&amp;C&amp;G</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A42"/>
  <sheetViews>
    <sheetView showGridLines="0" showRuler="0" zoomScaleNormal="100" workbookViewId="0">
      <selection activeCell="K6" sqref="K6:L6"/>
    </sheetView>
  </sheetViews>
  <sheetFormatPr defaultColWidth="3.5703125" defaultRowHeight="18.75" customHeight="1" x14ac:dyDescent="0.25"/>
  <cols>
    <col min="1" max="16" width="3.5703125" style="21"/>
    <col min="17" max="17" width="3.5703125" style="23"/>
    <col min="18" max="27" width="3.5703125" style="21"/>
    <col min="28" max="28" width="3.5703125" style="106" customWidth="1"/>
    <col min="29" max="29" width="3.5703125" style="129" customWidth="1"/>
    <col min="30" max="31" width="13.85546875" style="129" hidden="1" customWidth="1"/>
    <col min="32" max="32" width="37.140625" style="129" hidden="1" customWidth="1"/>
    <col min="33" max="35" width="3.5703125" style="154" hidden="1" customWidth="1"/>
    <col min="36" max="36" width="4.28515625" style="154" hidden="1" customWidth="1"/>
    <col min="37" max="46" width="3.5703125" style="154" hidden="1" customWidth="1"/>
    <col min="47" max="47" width="4" style="154" hidden="1" customWidth="1"/>
    <col min="48" max="56" width="3.5703125" style="154" hidden="1" customWidth="1"/>
    <col min="57" max="57" width="38.5703125" style="154" hidden="1" customWidth="1"/>
    <col min="58" max="58" width="10.5703125" style="154" hidden="1" customWidth="1"/>
    <col min="59" max="59" width="3.5703125" style="154" hidden="1" customWidth="1"/>
    <col min="60" max="60" width="16.28515625" style="94" hidden="1" customWidth="1"/>
    <col min="61" max="71" width="10.5703125" style="94" hidden="1" customWidth="1"/>
    <col min="72" max="74" width="3.5703125" style="94" hidden="1" customWidth="1"/>
    <col min="75" max="78" width="0" style="94" hidden="1" customWidth="1"/>
    <col min="79" max="86" width="3.5703125" style="94"/>
    <col min="87" max="157" width="3.5703125" style="129"/>
    <col min="158" max="16384" width="3.5703125" style="21"/>
  </cols>
  <sheetData>
    <row r="1" spans="1:86" ht="48" customHeight="1" x14ac:dyDescent="0.2">
      <c r="A1" s="1534" t="s">
        <v>777</v>
      </c>
      <c r="B1" s="1534"/>
      <c r="C1" s="1534"/>
      <c r="D1" s="1534"/>
      <c r="E1" s="1534"/>
      <c r="F1" s="1534"/>
      <c r="G1" s="1534"/>
      <c r="H1" s="1534"/>
      <c r="I1" s="1534"/>
      <c r="J1" s="1534"/>
      <c r="K1" s="1534"/>
      <c r="L1" s="1534"/>
      <c r="M1" s="1534"/>
      <c r="N1" s="1534"/>
      <c r="O1" s="1534"/>
      <c r="P1" s="1534"/>
      <c r="AD1" s="965" t="s">
        <v>410</v>
      </c>
    </row>
    <row r="2" spans="1:86" ht="31.5" x14ac:dyDescent="0.25">
      <c r="A2" s="1533" t="s">
        <v>780</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D2" s="966">
        <f ca="1">NOW()</f>
        <v>42797.514809143519</v>
      </c>
      <c r="BE2" s="154" t="str">
        <f>TEXT(LoanTotalAmount,"$0,000")</f>
        <v>$0,000</v>
      </c>
      <c r="BI2" s="322"/>
      <c r="BJ2" s="323" t="s">
        <v>104</v>
      </c>
      <c r="BK2" s="322"/>
      <c r="BL2" s="322"/>
      <c r="BM2" s="322"/>
      <c r="BN2" s="322"/>
      <c r="BO2" s="322"/>
      <c r="BP2" s="93"/>
      <c r="BQ2" s="93"/>
      <c r="BR2" s="93"/>
      <c r="BS2" s="93"/>
      <c r="BT2" s="93"/>
      <c r="BU2" s="93"/>
      <c r="BV2" s="93"/>
      <c r="BW2" s="93"/>
      <c r="BX2" s="93"/>
      <c r="BY2" s="93"/>
      <c r="BZ2" s="93"/>
      <c r="CA2" s="93"/>
      <c r="CB2" s="93"/>
      <c r="CC2" s="93"/>
      <c r="CD2" s="93"/>
      <c r="CE2" s="93"/>
      <c r="CF2" s="93"/>
      <c r="CG2" s="93"/>
      <c r="CH2" s="93"/>
    </row>
    <row r="3" spans="1:86" s="157" customFormat="1" ht="7.35" customHeight="1" x14ac:dyDescent="0.25">
      <c r="A3" s="684"/>
      <c r="B3" s="684"/>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C3" s="153"/>
      <c r="AD3" s="153"/>
      <c r="AE3" s="129"/>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1580" t="e">
        <f>CONCATENATE(BE11," - ",TEXT(PBLoan!W11,"$0,000")," "," (",Processing!#REF!,")")</f>
        <v>#REF!</v>
      </c>
      <c r="BF3" s="1581"/>
      <c r="BG3" s="655"/>
      <c r="BH3" s="655"/>
      <c r="BI3" s="655"/>
      <c r="BJ3" s="655"/>
      <c r="BK3" s="655"/>
      <c r="BL3" s="655"/>
      <c r="BM3" s="655"/>
      <c r="BN3" s="655"/>
      <c r="BO3" s="655"/>
      <c r="BP3" s="655"/>
      <c r="BQ3" s="655"/>
      <c r="BR3" s="655"/>
      <c r="BS3" s="655"/>
      <c r="BT3" s="655"/>
      <c r="BU3" s="655"/>
      <c r="BV3" s="655"/>
      <c r="BW3" s="655"/>
      <c r="BX3" s="655"/>
      <c r="BY3" s="655"/>
      <c r="BZ3" s="655"/>
      <c r="CA3" s="655"/>
      <c r="CB3" s="655"/>
      <c r="CC3" s="655"/>
      <c r="CD3" s="655"/>
      <c r="CE3" s="655"/>
      <c r="CF3" s="655"/>
      <c r="CG3" s="655"/>
      <c r="CH3" s="655"/>
    </row>
    <row r="4" spans="1:86" ht="18.75" customHeight="1" x14ac:dyDescent="0.25">
      <c r="A4" s="1521" t="s">
        <v>131</v>
      </c>
      <c r="B4" s="1521"/>
      <c r="C4" s="1521"/>
      <c r="D4" s="1521"/>
      <c r="E4" s="1521"/>
      <c r="F4" s="1522"/>
      <c r="G4" s="1542" t="s">
        <v>122</v>
      </c>
      <c r="H4" s="1544"/>
      <c r="I4" s="1560" t="str">
        <f>IF(Borrower1="","",CONCATENATE(G5," ",J5," ",M5))</f>
        <v/>
      </c>
      <c r="J4" s="1561"/>
      <c r="K4" s="1561"/>
      <c r="L4" s="1561"/>
      <c r="M4" s="1561"/>
      <c r="N4" s="1561"/>
      <c r="O4" s="1561"/>
      <c r="P4" s="1561"/>
      <c r="R4" s="1542"/>
      <c r="S4" s="1544"/>
      <c r="T4" s="1560" t="str">
        <f>CONCATENATE(R5," ",U5," ",X5)</f>
        <v xml:space="preserve">  </v>
      </c>
      <c r="U4" s="1561"/>
      <c r="V4" s="1561"/>
      <c r="W4" s="1561"/>
      <c r="X4" s="1561"/>
      <c r="Y4" s="1561"/>
      <c r="Z4" s="1561"/>
      <c r="AA4" s="1561"/>
      <c r="AC4" s="153"/>
      <c r="AG4" s="129"/>
      <c r="AH4" s="129"/>
      <c r="AI4" s="129"/>
      <c r="AJ4" s="1584" t="s">
        <v>279</v>
      </c>
      <c r="AK4" s="1585"/>
      <c r="AL4" s="1585"/>
      <c r="AM4" s="1585"/>
      <c r="AN4" s="1585"/>
      <c r="AO4" s="1585"/>
      <c r="AP4" s="1585"/>
      <c r="AQ4" s="1585"/>
      <c r="AR4" s="1585"/>
      <c r="AS4" s="1586"/>
      <c r="AT4" s="1582" t="s">
        <v>280</v>
      </c>
      <c r="AU4" s="1587"/>
      <c r="AV4" s="1587"/>
      <c r="AW4" s="1587"/>
      <c r="AX4" s="1587"/>
      <c r="AY4" s="1587"/>
      <c r="AZ4" s="1587"/>
      <c r="BA4" s="1587"/>
      <c r="BB4" s="1587"/>
      <c r="BC4" s="1583"/>
      <c r="BE4" s="1582" t="s">
        <v>281</v>
      </c>
      <c r="BF4" s="1583"/>
      <c r="BG4" s="129"/>
      <c r="BI4" s="129"/>
      <c r="BJ4" s="129" t="s">
        <v>501</v>
      </c>
      <c r="BK4" s="129"/>
      <c r="BL4" s="129"/>
      <c r="BM4" s="129"/>
      <c r="BN4" s="129" t="s">
        <v>1395</v>
      </c>
      <c r="BO4" s="129">
        <f>+Goals!A18</f>
        <v>70</v>
      </c>
      <c r="BP4" s="129">
        <f>+Goals!E18</f>
        <v>70</v>
      </c>
    </row>
    <row r="5" spans="1:86" ht="18.75" customHeight="1" x14ac:dyDescent="0.25">
      <c r="A5" s="1521" t="s">
        <v>0</v>
      </c>
      <c r="B5" s="1521"/>
      <c r="C5" s="1521"/>
      <c r="D5" s="1521"/>
      <c r="E5" s="1521"/>
      <c r="F5" s="1522"/>
      <c r="G5" s="1542"/>
      <c r="H5" s="1543"/>
      <c r="I5" s="1543"/>
      <c r="J5" s="1543"/>
      <c r="K5" s="1543"/>
      <c r="L5" s="1543"/>
      <c r="M5" s="1543"/>
      <c r="N5" s="1543"/>
      <c r="O5" s="1543"/>
      <c r="P5" s="1544"/>
      <c r="Q5" s="22"/>
      <c r="R5" s="1542"/>
      <c r="S5" s="1543"/>
      <c r="T5" s="1543"/>
      <c r="U5" s="1543"/>
      <c r="V5" s="1543"/>
      <c r="W5" s="1543"/>
      <c r="X5" s="1543"/>
      <c r="Y5" s="1543"/>
      <c r="Z5" s="1543"/>
      <c r="AA5" s="1544"/>
      <c r="AG5" s="154" t="s">
        <v>510</v>
      </c>
      <c r="AJ5" s="1566" t="str">
        <f>CONCATENATE(G5," ",M5)</f>
        <v xml:space="preserve"> </v>
      </c>
      <c r="AK5" s="1567"/>
      <c r="AL5" s="1567"/>
      <c r="AM5" s="1567"/>
      <c r="AN5" s="1567"/>
      <c r="AO5" s="1562" t="str">
        <f>CONCATENATE(R5," ",X5)</f>
        <v xml:space="preserve"> </v>
      </c>
      <c r="AP5" s="1563"/>
      <c r="AQ5" s="1563"/>
      <c r="AR5" s="1563"/>
      <c r="AS5" s="1564"/>
      <c r="AT5" s="1565" t="str">
        <f>CONCATENATE(G5," ",M5)</f>
        <v xml:space="preserve"> </v>
      </c>
      <c r="AU5" s="1565"/>
      <c r="AV5" s="1565"/>
      <c r="AW5" s="1565"/>
      <c r="AX5" s="1565"/>
      <c r="AY5" s="1565"/>
      <c r="AZ5" s="1565"/>
      <c r="BA5" s="1565"/>
      <c r="BB5" s="1565"/>
      <c r="BC5" s="1565"/>
      <c r="BD5" s="155"/>
      <c r="BE5" s="156" t="str">
        <f t="shared" ref="BE5:BE12" si="0">IF($X$5="",AT5,AJ5)</f>
        <v xml:space="preserve"> </v>
      </c>
      <c r="BF5" s="156" t="str">
        <f>IF($X$5="","",AO5)</f>
        <v/>
      </c>
      <c r="BJ5" s="318" t="s">
        <v>100</v>
      </c>
      <c r="BK5" s="321">
        <f>+G5</f>
        <v>0</v>
      </c>
      <c r="BL5" s="321">
        <f>+R5</f>
        <v>0</v>
      </c>
      <c r="BN5" s="318" t="s">
        <v>100</v>
      </c>
      <c r="BO5" s="321">
        <f>+BK5</f>
        <v>0</v>
      </c>
      <c r="BP5" s="321">
        <f>+BL5</f>
        <v>0</v>
      </c>
    </row>
    <row r="6" spans="1:86" ht="18.75" customHeight="1" x14ac:dyDescent="0.25">
      <c r="A6" s="1521" t="s">
        <v>1</v>
      </c>
      <c r="B6" s="1521"/>
      <c r="C6" s="1521"/>
      <c r="D6" s="1521"/>
      <c r="E6" s="1521"/>
      <c r="F6" s="1522"/>
      <c r="G6" s="1535"/>
      <c r="H6" s="1536"/>
      <c r="I6" s="1536"/>
      <c r="J6" s="1537"/>
      <c r="K6" s="1538" t="s">
        <v>105</v>
      </c>
      <c r="L6" s="1538"/>
      <c r="M6" s="1535"/>
      <c r="N6" s="1536"/>
      <c r="O6" s="1536"/>
      <c r="P6" s="1537"/>
      <c r="Q6" s="22"/>
      <c r="R6" s="1535"/>
      <c r="S6" s="1536"/>
      <c r="T6" s="1536"/>
      <c r="U6" s="1537"/>
      <c r="V6" s="1538" t="s">
        <v>105</v>
      </c>
      <c r="W6" s="1538"/>
      <c r="X6" s="1535"/>
      <c r="Y6" s="1536"/>
      <c r="Z6" s="1536"/>
      <c r="AA6" s="1537"/>
      <c r="AG6" s="154" t="s">
        <v>137</v>
      </c>
      <c r="AJ6" s="1572" t="str">
        <f>CONCATENATE(G5," &amp; ",R5)</f>
        <v xml:space="preserve"> &amp; </v>
      </c>
      <c r="AK6" s="1573"/>
      <c r="AL6" s="1573"/>
      <c r="AM6" s="1573"/>
      <c r="AN6" s="1573"/>
      <c r="AO6" s="1573"/>
      <c r="AP6" s="1573"/>
      <c r="AQ6" s="1573"/>
      <c r="AR6" s="1573"/>
      <c r="AS6" s="1573"/>
      <c r="AT6" s="1565">
        <f>+G5</f>
        <v>0</v>
      </c>
      <c r="AU6" s="1565"/>
      <c r="AV6" s="1565"/>
      <c r="AW6" s="1565"/>
      <c r="AX6" s="1565"/>
      <c r="AY6" s="1565"/>
      <c r="AZ6" s="1565"/>
      <c r="BA6" s="1565"/>
      <c r="BB6" s="1565"/>
      <c r="BC6" s="1565"/>
      <c r="BD6" s="155"/>
      <c r="BE6" s="156">
        <f t="shared" si="0"/>
        <v>0</v>
      </c>
      <c r="BF6" s="156"/>
      <c r="BJ6" s="318" t="s">
        <v>101</v>
      </c>
      <c r="BK6" s="320" t="str">
        <f ca="1">IF(BK5=0,"",(+NOW()-G6)/365.25)</f>
        <v/>
      </c>
      <c r="BL6" s="320" t="str">
        <f ca="1">IF(BL5=0,"",(+NOW()-R6)/365.25)</f>
        <v/>
      </c>
      <c r="BN6" s="318" t="s">
        <v>940</v>
      </c>
      <c r="BO6" s="320" t="str">
        <f>IF(BO5=0,"",(+BO4-BK6))</f>
        <v/>
      </c>
      <c r="BP6" s="320" t="str">
        <f>IF(BP5=0,"",(+BP4-BL6))</f>
        <v/>
      </c>
    </row>
    <row r="7" spans="1:86" ht="18.75" customHeight="1" x14ac:dyDescent="0.25">
      <c r="A7" s="1521"/>
      <c r="B7" s="1521"/>
      <c r="C7" s="1521"/>
      <c r="D7" s="1521"/>
      <c r="E7" s="1521"/>
      <c r="F7" s="1521"/>
      <c r="G7" s="1540" t="str">
        <f>IF(G6="","",+BK10)</f>
        <v/>
      </c>
      <c r="H7" s="1540"/>
      <c r="I7" s="1540"/>
      <c r="J7" s="1540"/>
      <c r="K7" s="1538" t="s">
        <v>127</v>
      </c>
      <c r="L7" s="1539"/>
      <c r="M7" s="1535"/>
      <c r="N7" s="1536"/>
      <c r="O7" s="1536"/>
      <c r="P7" s="1537"/>
      <c r="Q7" s="25"/>
      <c r="R7" s="1540" t="str">
        <f>IF(R6="","",+BL10)</f>
        <v/>
      </c>
      <c r="S7" s="1540"/>
      <c r="T7" s="1540"/>
      <c r="U7" s="1540"/>
      <c r="V7" s="1538" t="s">
        <v>127</v>
      </c>
      <c r="W7" s="1539"/>
      <c r="X7" s="1535"/>
      <c r="Y7" s="1536"/>
      <c r="Z7" s="1536"/>
      <c r="AA7" s="1537"/>
      <c r="AG7" s="154" t="s">
        <v>138</v>
      </c>
      <c r="AJ7" s="1568" t="str">
        <f>CONCATENATE(G4," ",G5," ",M5," &amp; ", R4," ",R5," ",X5)</f>
        <v xml:space="preserve">Mr   &amp;   </v>
      </c>
      <c r="AK7" s="1569"/>
      <c r="AL7" s="1569"/>
      <c r="AM7" s="1569"/>
      <c r="AN7" s="1569"/>
      <c r="AO7" s="1569"/>
      <c r="AP7" s="1569"/>
      <c r="AQ7" s="1569"/>
      <c r="AR7" s="1569"/>
      <c r="AS7" s="1569"/>
      <c r="AT7" s="1557" t="str">
        <f>CONCATENATE(G4," ",G5," ",M5,)</f>
        <v xml:space="preserve">Mr  </v>
      </c>
      <c r="AU7" s="1558"/>
      <c r="AV7" s="1558"/>
      <c r="AW7" s="1558"/>
      <c r="AX7" s="1558"/>
      <c r="AY7" s="1558"/>
      <c r="AZ7" s="1558"/>
      <c r="BA7" s="1558"/>
      <c r="BB7" s="1558"/>
      <c r="BC7" s="1559"/>
      <c r="BD7" s="155"/>
      <c r="BE7" s="156" t="str">
        <f t="shared" si="0"/>
        <v xml:space="preserve">Mr  </v>
      </c>
      <c r="BF7" s="156"/>
      <c r="BJ7" s="318" t="s">
        <v>102</v>
      </c>
      <c r="BK7" s="320" t="str">
        <f>IF(BK5=0,"",ROUNDDOWN(BK6,0))</f>
        <v/>
      </c>
      <c r="BL7" s="320" t="str">
        <f>IF(BL5=0,"",ROUNDDOWN(BL6,0))</f>
        <v/>
      </c>
      <c r="BN7" s="318" t="s">
        <v>102</v>
      </c>
      <c r="BO7" s="320" t="str">
        <f>IF(BO5=0,"",ROUNDDOWN(BO6,0))</f>
        <v/>
      </c>
      <c r="BP7" s="320" t="str">
        <f>IF(BP5=0,"",ROUNDDOWN(BP6,0))</f>
        <v/>
      </c>
    </row>
    <row r="8" spans="1:86" ht="9.6" customHeight="1" x14ac:dyDescent="0.25">
      <c r="A8" s="1521"/>
      <c r="B8" s="1521"/>
      <c r="C8" s="1521"/>
      <c r="D8" s="1521"/>
      <c r="E8" s="1521"/>
      <c r="F8" s="1521"/>
      <c r="G8" s="733"/>
      <c r="H8" s="733"/>
      <c r="I8" s="733"/>
      <c r="J8" s="733"/>
      <c r="K8" s="733"/>
      <c r="L8" s="733"/>
      <c r="M8" s="733"/>
      <c r="N8" s="733"/>
      <c r="O8" s="733"/>
      <c r="P8" s="733"/>
      <c r="Q8" s="733"/>
      <c r="R8" s="733"/>
      <c r="S8" s="733"/>
      <c r="T8" s="733"/>
      <c r="U8" s="733"/>
      <c r="V8" s="733"/>
      <c r="W8" s="733"/>
      <c r="X8" s="733"/>
      <c r="Y8" s="733"/>
      <c r="Z8" s="733"/>
      <c r="AA8" s="733"/>
      <c r="AB8" s="733"/>
      <c r="AG8" s="602"/>
      <c r="AH8" s="602"/>
      <c r="AI8" s="602"/>
      <c r="AJ8" s="1568" t="str">
        <f>CONCATENATE(G5," ",M5," &amp; ", R5," ",X5)</f>
        <v xml:space="preserve">  &amp;  </v>
      </c>
      <c r="AK8" s="1569"/>
      <c r="AL8" s="1569"/>
      <c r="AM8" s="1569"/>
      <c r="AN8" s="1569"/>
      <c r="AO8" s="1569"/>
      <c r="AP8" s="1569"/>
      <c r="AQ8" s="1569"/>
      <c r="AR8" s="1569"/>
      <c r="AS8" s="1569"/>
      <c r="AT8" s="1557" t="str">
        <f>CONCATENATE(G5," ",M5,)</f>
        <v xml:space="preserve"> </v>
      </c>
      <c r="AU8" s="1558"/>
      <c r="AV8" s="1558"/>
      <c r="AW8" s="1558"/>
      <c r="AX8" s="1558"/>
      <c r="AY8" s="1558"/>
      <c r="AZ8" s="1558"/>
      <c r="BA8" s="1558"/>
      <c r="BB8" s="1558"/>
      <c r="BC8" s="1559"/>
      <c r="BD8" s="155"/>
      <c r="BE8" s="603" t="str">
        <f t="shared" si="0"/>
        <v xml:space="preserve"> </v>
      </c>
      <c r="BF8" s="603"/>
      <c r="BG8" s="602"/>
      <c r="BJ8" s="318"/>
      <c r="BK8" s="320" t="str">
        <f>IF(BK5=0,"",((+BK6-BK7)*365)/30.41)</f>
        <v/>
      </c>
      <c r="BL8" s="320" t="str">
        <f>IF(BL5=0,"",((+BL6-BL7)*365)/30.41)</f>
        <v/>
      </c>
      <c r="BN8" s="318"/>
      <c r="BO8" s="320" t="str">
        <f>IF(BO5=0,"",((+BO6-BO7)*365)/30.41)</f>
        <v/>
      </c>
      <c r="BP8" s="320" t="str">
        <f>IF(BP5=0,"",((+BP6-BP7)*365)/30.41)</f>
        <v/>
      </c>
    </row>
    <row r="9" spans="1:86" ht="19.5" customHeight="1" x14ac:dyDescent="0.25">
      <c r="A9" s="1521" t="s">
        <v>695</v>
      </c>
      <c r="B9" s="1521"/>
      <c r="C9" s="1521"/>
      <c r="D9" s="1521"/>
      <c r="E9" s="1521"/>
      <c r="F9" s="1521"/>
      <c r="G9" s="1526" t="s">
        <v>550</v>
      </c>
      <c r="H9" s="1528"/>
      <c r="I9" s="734"/>
      <c r="J9" s="1588" t="str">
        <f>IF(G9="Yes", "Australian","Nationality")</f>
        <v>Australian</v>
      </c>
      <c r="K9" s="1589"/>
      <c r="L9" s="1589"/>
      <c r="M9" s="1589"/>
      <c r="N9" s="1589"/>
      <c r="O9" s="1589"/>
      <c r="P9" s="1590"/>
      <c r="Q9" s="733"/>
      <c r="R9" s="1526" t="s">
        <v>550</v>
      </c>
      <c r="S9" s="1528"/>
      <c r="U9" s="1588" t="str">
        <f>IF(R9="Yes", "Australian","Nationality")</f>
        <v>Australian</v>
      </c>
      <c r="V9" s="1589"/>
      <c r="W9" s="1589"/>
      <c r="X9" s="1589"/>
      <c r="Y9" s="1589"/>
      <c r="Z9" s="1589"/>
      <c r="AA9" s="1590"/>
      <c r="AB9" s="733"/>
      <c r="AG9" s="154" t="s">
        <v>278</v>
      </c>
      <c r="AJ9" s="1574" t="str">
        <f>CONCATENATE(G5," ",J5," ",M5," &amp; ",R5," ",U5," ",X5)</f>
        <v xml:space="preserve">   &amp;   </v>
      </c>
      <c r="AK9" s="1575"/>
      <c r="AL9" s="1575"/>
      <c r="AM9" s="1575"/>
      <c r="AN9" s="1575"/>
      <c r="AO9" s="1575"/>
      <c r="AP9" s="1575"/>
      <c r="AQ9" s="1575"/>
      <c r="AR9" s="1575"/>
      <c r="AS9" s="1575"/>
      <c r="AT9" s="1565" t="str">
        <f>CONCATENATE(G5," ",J5," ",M5,)</f>
        <v xml:space="preserve">  </v>
      </c>
      <c r="AU9" s="1565"/>
      <c r="AV9" s="1565"/>
      <c r="AW9" s="1565"/>
      <c r="AX9" s="1565"/>
      <c r="AY9" s="1565"/>
      <c r="AZ9" s="1565"/>
      <c r="BA9" s="1565"/>
      <c r="BB9" s="1565"/>
      <c r="BC9" s="1565"/>
      <c r="BD9" s="155"/>
      <c r="BE9" s="156" t="str">
        <f t="shared" si="0"/>
        <v xml:space="preserve">  </v>
      </c>
      <c r="BF9" s="156"/>
      <c r="BJ9" s="318" t="s">
        <v>103</v>
      </c>
      <c r="BK9" s="320" t="str">
        <f>IF(BK5=0,"",ROUNDDOWN(BK8,0))</f>
        <v/>
      </c>
      <c r="BL9" s="320" t="str">
        <f>IF(BL5=0,"",ROUNDDOWN(BL8,0))</f>
        <v/>
      </c>
      <c r="BN9" s="318" t="s">
        <v>103</v>
      </c>
      <c r="BO9" s="320" t="str">
        <f>IF(BO5=0,"",ROUNDDOWN(BO8,0))</f>
        <v/>
      </c>
      <c r="BP9" s="320" t="str">
        <f>IF(BP5=0,"",ROUNDDOWN(BP8,0))</f>
        <v/>
      </c>
    </row>
    <row r="10" spans="1:86" ht="9.6" customHeight="1" x14ac:dyDescent="0.25">
      <c r="A10" s="1521"/>
      <c r="B10" s="1521"/>
      <c r="C10" s="1521"/>
      <c r="D10" s="1521"/>
      <c r="E10" s="1521"/>
      <c r="F10" s="1521"/>
      <c r="G10" s="1591"/>
      <c r="H10" s="1591"/>
      <c r="I10" s="755"/>
      <c r="J10" s="755"/>
      <c r="K10" s="639"/>
      <c r="L10" s="639"/>
      <c r="M10" s="1"/>
      <c r="N10" s="1"/>
      <c r="O10" s="1"/>
      <c r="P10" s="1"/>
      <c r="Q10" s="24"/>
      <c r="R10" s="755"/>
      <c r="S10" s="755"/>
      <c r="T10" s="755"/>
      <c r="U10" s="755"/>
      <c r="V10" s="639"/>
      <c r="W10" s="639"/>
      <c r="X10" s="1"/>
      <c r="Y10" s="1"/>
      <c r="Z10" s="1"/>
      <c r="AA10" s="1"/>
      <c r="AG10" s="154" t="s">
        <v>3</v>
      </c>
      <c r="AJ10" s="1555" t="str">
        <f>CONCATENATE(G14,"; ",R14)</f>
        <v xml:space="preserve">; </v>
      </c>
      <c r="AK10" s="1556"/>
      <c r="AL10" s="1556"/>
      <c r="AM10" s="1556"/>
      <c r="AN10" s="1556"/>
      <c r="AO10" s="1556"/>
      <c r="AP10" s="1556"/>
      <c r="AQ10" s="1556"/>
      <c r="AR10" s="1556"/>
      <c r="AS10" s="1556"/>
      <c r="AT10" s="1557">
        <f>+G14</f>
        <v>0</v>
      </c>
      <c r="AU10" s="1558"/>
      <c r="AV10" s="1558"/>
      <c r="AW10" s="1558"/>
      <c r="AX10" s="1558"/>
      <c r="AY10" s="1558"/>
      <c r="AZ10" s="1558"/>
      <c r="BA10" s="1558"/>
      <c r="BB10" s="1558"/>
      <c r="BC10" s="1559"/>
      <c r="BD10" s="155"/>
      <c r="BE10" s="156">
        <f t="shared" si="0"/>
        <v>0</v>
      </c>
      <c r="BF10" s="156"/>
      <c r="BJ10" s="318" t="s">
        <v>101</v>
      </c>
      <c r="BK10" s="319" t="str">
        <f>IF(BK5=0,"",CONCATENATE(BK7,"y ",BK9, "m "))</f>
        <v/>
      </c>
      <c r="BL10" s="319" t="str">
        <f>IF(BL5=0,"",CONCATENATE(BL7,"y ",BL9, "m "))</f>
        <v/>
      </c>
      <c r="BN10" s="318" t="s">
        <v>101</v>
      </c>
      <c r="BO10" s="319" t="str">
        <f>IF(BO5=0,"",CONCATENATE(BO7,"y ",BO9, "m "))</f>
        <v/>
      </c>
      <c r="BP10" s="319" t="str">
        <f>IF(BP5=0,"",CONCATENATE(BP7,"y ",BP9, "m "))</f>
        <v/>
      </c>
    </row>
    <row r="11" spans="1:86" ht="18.75" customHeight="1" x14ac:dyDescent="0.25">
      <c r="A11" s="1521" t="s">
        <v>728</v>
      </c>
      <c r="B11" s="1521"/>
      <c r="C11" s="1521"/>
      <c r="D11" s="1521"/>
      <c r="G11" s="1538" t="s">
        <v>106</v>
      </c>
      <c r="H11" s="1538"/>
      <c r="I11" s="1550"/>
      <c r="J11" s="1550"/>
      <c r="K11" s="1550"/>
      <c r="L11" s="1550"/>
      <c r="M11" s="1550"/>
      <c r="N11" s="1550"/>
      <c r="O11" s="1550"/>
      <c r="P11" s="848">
        <v>1</v>
      </c>
      <c r="Q11" s="756"/>
      <c r="R11" s="1538" t="s">
        <v>106</v>
      </c>
      <c r="S11" s="1538"/>
      <c r="T11" s="1550"/>
      <c r="U11" s="1550"/>
      <c r="V11" s="1550"/>
      <c r="W11" s="1550"/>
      <c r="X11" s="1550"/>
      <c r="Y11" s="1550"/>
      <c r="Z11" s="1550"/>
      <c r="AA11" s="848">
        <v>1</v>
      </c>
      <c r="AD11" s="1019" t="s">
        <v>1155</v>
      </c>
      <c r="AG11" s="335" t="s">
        <v>509</v>
      </c>
      <c r="AH11" s="335"/>
      <c r="AI11" s="335"/>
      <c r="AJ11" s="1555" t="str">
        <f>CONCATENATE(M5," &amp; ",X5)</f>
        <v xml:space="preserve"> &amp; </v>
      </c>
      <c r="AK11" s="1556"/>
      <c r="AL11" s="1556"/>
      <c r="AM11" s="1556"/>
      <c r="AN11" s="1556"/>
      <c r="AO11" s="1556"/>
      <c r="AP11" s="1556"/>
      <c r="AQ11" s="1556"/>
      <c r="AR11" s="1556"/>
      <c r="AS11" s="1556"/>
      <c r="AT11" s="1557" t="str">
        <f>CONCATENATE(M5,", ",Borrower1)</f>
        <v xml:space="preserve">, </v>
      </c>
      <c r="AU11" s="1558"/>
      <c r="AV11" s="1558"/>
      <c r="AW11" s="1558"/>
      <c r="AX11" s="1558"/>
      <c r="AY11" s="1558"/>
      <c r="AZ11" s="1558"/>
      <c r="BA11" s="1558"/>
      <c r="BB11" s="1558"/>
      <c r="BC11" s="1559"/>
      <c r="BD11" s="155"/>
      <c r="BE11" s="336" t="str">
        <f t="shared" si="0"/>
        <v xml:space="preserve">, </v>
      </c>
      <c r="BF11" s="336"/>
    </row>
    <row r="12" spans="1:86" ht="18.75" customHeight="1" x14ac:dyDescent="0.25">
      <c r="A12" s="641"/>
      <c r="B12" s="641"/>
      <c r="C12" s="641"/>
      <c r="D12" s="641"/>
      <c r="G12" s="1538" t="s">
        <v>107</v>
      </c>
      <c r="H12" s="1539"/>
      <c r="I12" s="1549"/>
      <c r="J12" s="1549"/>
      <c r="K12" s="1549"/>
      <c r="L12" s="1549"/>
      <c r="M12" s="1549"/>
      <c r="N12" s="1549"/>
      <c r="O12" s="1549"/>
      <c r="P12" s="848"/>
      <c r="Q12" s="21"/>
      <c r="R12" s="1538" t="s">
        <v>107</v>
      </c>
      <c r="S12" s="1539"/>
      <c r="T12" s="1549" t="s">
        <v>250</v>
      </c>
      <c r="U12" s="1549"/>
      <c r="V12" s="1549"/>
      <c r="W12" s="1549"/>
      <c r="X12" s="1549"/>
      <c r="Y12" s="1549"/>
      <c r="Z12" s="1549"/>
      <c r="AA12" s="848"/>
      <c r="AG12" s="335" t="s">
        <v>234</v>
      </c>
      <c r="AH12" s="335"/>
      <c r="AI12" s="335"/>
      <c r="AJ12" s="1555" t="str">
        <f>IF($M$5=$X$5,CONCATENATE(+M5,", ",LEFT(Borrower1,1),LEFT(J5,1)," &amp; ",LEFT(Borrower2), LEFT(U5)),CONCATENATE(+M5," &amp; ",$X$5))</f>
        <v xml:space="preserve">,  &amp; </v>
      </c>
      <c r="AK12" s="1556"/>
      <c r="AL12" s="1556"/>
      <c r="AM12" s="1556"/>
      <c r="AN12" s="1556"/>
      <c r="AO12" s="1556"/>
      <c r="AP12" s="1556"/>
      <c r="AQ12" s="1556"/>
      <c r="AR12" s="1556"/>
      <c r="AS12" s="1556"/>
      <c r="AT12" s="1557" t="str">
        <f>CONCATENATE(+M5,", ",LEFT(Borrower1,1),LEFT(J5,1))</f>
        <v xml:space="preserve">, </v>
      </c>
      <c r="AU12" s="1558"/>
      <c r="AV12" s="1558"/>
      <c r="AW12" s="1558"/>
      <c r="AX12" s="1558"/>
      <c r="AY12" s="1558"/>
      <c r="AZ12" s="1558"/>
      <c r="BA12" s="1558"/>
      <c r="BB12" s="1558"/>
      <c r="BC12" s="1559"/>
      <c r="BD12" s="335"/>
      <c r="BE12" s="336" t="str">
        <f t="shared" si="0"/>
        <v xml:space="preserve">, </v>
      </c>
      <c r="BF12" s="336"/>
      <c r="BJ12" s="94" t="s">
        <v>502</v>
      </c>
    </row>
    <row r="13" spans="1:86" ht="18.75" customHeight="1" x14ac:dyDescent="0.25">
      <c r="A13" s="641"/>
      <c r="B13" s="641"/>
      <c r="C13" s="641"/>
      <c r="D13" s="641"/>
      <c r="G13" s="1538" t="s">
        <v>108</v>
      </c>
      <c r="H13" s="1539"/>
      <c r="I13" s="1549"/>
      <c r="J13" s="1549"/>
      <c r="K13" s="1549"/>
      <c r="L13" s="1549"/>
      <c r="M13" s="1549"/>
      <c r="N13" s="1549"/>
      <c r="O13" s="1549"/>
      <c r="P13" s="848"/>
      <c r="R13" s="1538" t="s">
        <v>108</v>
      </c>
      <c r="S13" s="1539"/>
      <c r="T13" s="1549"/>
      <c r="U13" s="1549"/>
      <c r="V13" s="1549"/>
      <c r="W13" s="1549"/>
      <c r="X13" s="1549"/>
      <c r="Y13" s="1549"/>
      <c r="Z13" s="1549"/>
      <c r="AA13" s="848"/>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J13" s="94" t="s">
        <v>502</v>
      </c>
    </row>
    <row r="14" spans="1:86" ht="18.75" customHeight="1" x14ac:dyDescent="0.25">
      <c r="A14" s="1521" t="s">
        <v>585</v>
      </c>
      <c r="B14" s="1521"/>
      <c r="C14" s="1521"/>
      <c r="D14" s="1521"/>
      <c r="E14" s="1521"/>
      <c r="F14" s="1522"/>
      <c r="G14" s="1577"/>
      <c r="H14" s="1578"/>
      <c r="I14" s="1578"/>
      <c r="J14" s="1578"/>
      <c r="K14" s="1578"/>
      <c r="L14" s="1578"/>
      <c r="M14" s="1578"/>
      <c r="N14" s="1578"/>
      <c r="O14" s="1578"/>
      <c r="P14" s="848"/>
      <c r="Q14" s="22"/>
      <c r="R14" s="1577"/>
      <c r="S14" s="1578"/>
      <c r="T14" s="1578"/>
      <c r="U14" s="1578"/>
      <c r="V14" s="1578"/>
      <c r="W14" s="1578"/>
      <c r="X14" s="1578"/>
      <c r="Y14" s="1578"/>
      <c r="Z14" s="1578"/>
      <c r="AA14" s="848"/>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J14" s="318" t="s">
        <v>100</v>
      </c>
      <c r="BK14" s="318">
        <f>+G20</f>
        <v>0</v>
      </c>
      <c r="BL14" s="318">
        <f>+J20</f>
        <v>0</v>
      </c>
      <c r="BM14" s="318">
        <f>+M20</f>
        <v>0</v>
      </c>
      <c r="BO14" s="318">
        <f>+S20</f>
        <v>0</v>
      </c>
      <c r="BP14" s="318">
        <f>+V20</f>
        <v>0</v>
      </c>
      <c r="BQ14" s="318">
        <f>+Y20</f>
        <v>0</v>
      </c>
    </row>
    <row r="15" spans="1:86" ht="18.75" customHeight="1" x14ac:dyDescent="0.25">
      <c r="A15" s="1521" t="s">
        <v>586</v>
      </c>
      <c r="B15" s="1521"/>
      <c r="C15" s="1521"/>
      <c r="D15" s="1521"/>
      <c r="E15" s="1521"/>
      <c r="F15" s="1522"/>
      <c r="G15" s="1577"/>
      <c r="H15" s="1578"/>
      <c r="I15" s="1578"/>
      <c r="J15" s="1578"/>
      <c r="K15" s="1578"/>
      <c r="L15" s="1578"/>
      <c r="M15" s="1578"/>
      <c r="N15" s="1578"/>
      <c r="O15" s="1578"/>
      <c r="P15" s="848">
        <v>1</v>
      </c>
      <c r="Q15" s="22"/>
      <c r="R15" s="1577"/>
      <c r="S15" s="1578"/>
      <c r="T15" s="1578"/>
      <c r="U15" s="1578"/>
      <c r="V15" s="1578"/>
      <c r="W15" s="1578"/>
      <c r="X15" s="1578"/>
      <c r="Y15" s="1578"/>
      <c r="Z15" s="1578"/>
      <c r="AA15" s="848">
        <v>1</v>
      </c>
      <c r="AB15" s="625"/>
      <c r="BJ15" s="318" t="s">
        <v>101</v>
      </c>
      <c r="BK15" s="320" t="str">
        <f ca="1">IF(BK14=0,"",(+NOW()-G21)/365.25)</f>
        <v/>
      </c>
      <c r="BL15" s="320" t="str">
        <f ca="1">IF(BL14=0,"",(+NOW()-J21)/365.25)</f>
        <v/>
      </c>
      <c r="BM15" s="320" t="str">
        <f ca="1">IF(BM14=0,"",(+NOW()-M21)/365.25)</f>
        <v/>
      </c>
      <c r="BO15" s="320" t="str">
        <f ca="1">IF(BO14=0,"",(+NOW()-S21)/365.25)</f>
        <v/>
      </c>
      <c r="BP15" s="320" t="str">
        <f ca="1">IF(BP14=0,"",(+NOW()-V21)/365.25)</f>
        <v/>
      </c>
      <c r="BQ15" s="320" t="str">
        <f ca="1">IF(BQ14=0,"",(+NOW()-Y21)/365.25)</f>
        <v/>
      </c>
    </row>
    <row r="16" spans="1:86" ht="18.75" customHeight="1" x14ac:dyDescent="0.25">
      <c r="A16" s="638"/>
      <c r="B16" s="638"/>
      <c r="C16" s="638"/>
      <c r="D16" s="638"/>
      <c r="E16" s="638"/>
      <c r="F16" s="638"/>
      <c r="G16" s="1571" t="s">
        <v>588</v>
      </c>
      <c r="H16" s="1571"/>
      <c r="I16" s="1571"/>
      <c r="J16" s="1570" t="s">
        <v>551</v>
      </c>
      <c r="K16" s="1570"/>
      <c r="L16" s="624"/>
      <c r="M16" s="1545" t="s">
        <v>673</v>
      </c>
      <c r="N16" s="1545"/>
      <c r="O16" s="1545"/>
      <c r="P16" s="1545"/>
      <c r="Q16" s="68"/>
      <c r="R16" s="1571" t="s">
        <v>588</v>
      </c>
      <c r="S16" s="1571"/>
      <c r="T16" s="1571"/>
      <c r="U16" s="1570" t="s">
        <v>551</v>
      </c>
      <c r="V16" s="1570"/>
      <c r="W16" s="624"/>
      <c r="X16" s="1545" t="s">
        <v>673</v>
      </c>
      <c r="Y16" s="1545"/>
      <c r="Z16" s="1545"/>
      <c r="AA16" s="1545"/>
      <c r="BJ16" s="318" t="s">
        <v>102</v>
      </c>
      <c r="BK16" s="320" t="str">
        <f>IF(BK14=0,"",ROUNDDOWN(BK15,0))</f>
        <v/>
      </c>
      <c r="BL16" s="320" t="str">
        <f t="shared" ref="BL16:BQ16" si="1">IF(BL14=0,"",ROUNDDOWN(BL15,0))</f>
        <v/>
      </c>
      <c r="BM16" s="320" t="str">
        <f t="shared" si="1"/>
        <v/>
      </c>
      <c r="BO16" s="320" t="str">
        <f t="shared" si="1"/>
        <v/>
      </c>
      <c r="BP16" s="320" t="str">
        <f t="shared" si="1"/>
        <v/>
      </c>
      <c r="BQ16" s="320" t="str">
        <f t="shared" si="1"/>
        <v/>
      </c>
    </row>
    <row r="17" spans="1:157" ht="19.149999999999999" customHeight="1" x14ac:dyDescent="0.25">
      <c r="A17" s="1521" t="s">
        <v>6</v>
      </c>
      <c r="B17" s="1521"/>
      <c r="C17" s="1521"/>
      <c r="D17" s="1521"/>
      <c r="E17" s="1521"/>
      <c r="F17" s="1522"/>
      <c r="G17" s="1546"/>
      <c r="H17" s="1547"/>
      <c r="I17" s="1547"/>
      <c r="J17" s="1547"/>
      <c r="K17" s="1547"/>
      <c r="L17" s="1547"/>
      <c r="M17" s="1547"/>
      <c r="N17" s="1547"/>
      <c r="O17" s="1547"/>
      <c r="P17" s="1548"/>
      <c r="Q17" s="52"/>
      <c r="R17" s="1546"/>
      <c r="S17" s="1547"/>
      <c r="T17" s="1547"/>
      <c r="U17" s="1547"/>
      <c r="V17" s="1547"/>
      <c r="W17" s="1547"/>
      <c r="X17" s="1547"/>
      <c r="Y17" s="1547"/>
      <c r="Z17" s="1547"/>
      <c r="AA17" s="1548"/>
      <c r="AI17" s="1005"/>
      <c r="AJ17" s="1005"/>
      <c r="AK17" s="1005"/>
      <c r="AL17" s="1005"/>
      <c r="BJ17" s="318"/>
      <c r="BK17" s="320" t="str">
        <f>IF(BK14=0,"",((+BK15-BK16)*365)/30.41)</f>
        <v/>
      </c>
      <c r="BL17" s="320" t="str">
        <f t="shared" ref="BL17:BQ17" si="2">IF(BL14=0,"",((+BL15-BL16)*365)/30.41)</f>
        <v/>
      </c>
      <c r="BM17" s="320" t="str">
        <f t="shared" si="2"/>
        <v/>
      </c>
      <c r="BO17" s="320" t="str">
        <f t="shared" si="2"/>
        <v/>
      </c>
      <c r="BP17" s="320" t="str">
        <f t="shared" si="2"/>
        <v/>
      </c>
      <c r="BQ17" s="320" t="str">
        <f t="shared" si="2"/>
        <v/>
      </c>
    </row>
    <row r="18" spans="1:157" ht="18.75" customHeight="1" x14ac:dyDescent="0.25">
      <c r="A18" s="1521" t="s">
        <v>406</v>
      </c>
      <c r="B18" s="1521"/>
      <c r="C18" s="1521"/>
      <c r="D18" s="1521"/>
      <c r="E18" s="1521"/>
      <c r="F18" s="1522"/>
      <c r="G18" s="1546"/>
      <c r="H18" s="1547"/>
      <c r="I18" s="1547"/>
      <c r="J18" s="1547"/>
      <c r="K18" s="1547"/>
      <c r="L18" s="1547"/>
      <c r="M18" s="1547"/>
      <c r="N18" s="1547"/>
      <c r="O18" s="1547"/>
      <c r="P18" s="1548"/>
      <c r="Q18" s="52"/>
      <c r="R18" s="1546"/>
      <c r="S18" s="1547"/>
      <c r="T18" s="1547"/>
      <c r="U18" s="1547"/>
      <c r="V18" s="1547"/>
      <c r="W18" s="1547"/>
      <c r="X18" s="1547"/>
      <c r="Y18" s="1547"/>
      <c r="Z18" s="1547"/>
      <c r="AA18" s="1548"/>
      <c r="AG18" s="154">
        <f>COUNTA(G20:AA20)</f>
        <v>0</v>
      </c>
      <c r="AH18" s="1553" t="s">
        <v>170</v>
      </c>
      <c r="AI18" s="1554"/>
      <c r="AJ18" s="1554"/>
      <c r="AK18" s="1554"/>
      <c r="AL18" s="1554"/>
      <c r="BJ18" s="318" t="s">
        <v>103</v>
      </c>
      <c r="BK18" s="320" t="str">
        <f>IF(BK14=0,"",ROUNDDOWN(BK17,0))</f>
        <v/>
      </c>
      <c r="BL18" s="320" t="str">
        <f t="shared" ref="BL18:BQ18" si="3">IF(BL14=0,"",ROUNDDOWN(BL17,0))</f>
        <v/>
      </c>
      <c r="BM18" s="320" t="str">
        <f t="shared" si="3"/>
        <v/>
      </c>
      <c r="BO18" s="320" t="str">
        <f t="shared" si="3"/>
        <v/>
      </c>
      <c r="BP18" s="320" t="str">
        <f t="shared" si="3"/>
        <v/>
      </c>
      <c r="BQ18" s="320" t="str">
        <f t="shared" si="3"/>
        <v/>
      </c>
    </row>
    <row r="19" spans="1:157" ht="14.65" customHeight="1" x14ac:dyDescent="0.2">
      <c r="A19" s="1521"/>
      <c r="B19" s="1521"/>
      <c r="C19" s="1521"/>
      <c r="D19" s="1521"/>
      <c r="E19" s="1521"/>
      <c r="F19" s="1521"/>
      <c r="G19" s="1541" t="s">
        <v>171</v>
      </c>
      <c r="H19" s="1541"/>
      <c r="I19" s="1541"/>
      <c r="J19" s="1541" t="s">
        <v>172</v>
      </c>
      <c r="K19" s="1541"/>
      <c r="L19" s="1541"/>
      <c r="M19" s="1541" t="s">
        <v>173</v>
      </c>
      <c r="N19" s="1541"/>
      <c r="O19" s="1541"/>
      <c r="P19" s="1541"/>
      <c r="Q19" s="1579"/>
      <c r="R19" s="1541"/>
      <c r="S19" s="1541" t="s">
        <v>174</v>
      </c>
      <c r="T19" s="1541"/>
      <c r="U19" s="1541"/>
      <c r="V19" s="1541" t="s">
        <v>175</v>
      </c>
      <c r="W19" s="1541"/>
      <c r="X19" s="1541"/>
      <c r="Y19" s="1541" t="s">
        <v>176</v>
      </c>
      <c r="Z19" s="1541"/>
      <c r="AA19" s="1541"/>
      <c r="BJ19" s="318" t="s">
        <v>101</v>
      </c>
      <c r="BK19" s="319" t="str">
        <f>IF(BK14=0,"",CONCATENATE(BK16,"y ",BK18, "m "))</f>
        <v/>
      </c>
      <c r="BL19" s="319" t="str">
        <f t="shared" ref="BL19:BQ19" si="4">IF(BL14=0,"",CONCATENATE(BL16,"y ",BL18, "m "))</f>
        <v/>
      </c>
      <c r="BM19" s="319" t="str">
        <f t="shared" si="4"/>
        <v/>
      </c>
      <c r="BO19" s="319" t="str">
        <f t="shared" si="4"/>
        <v/>
      </c>
      <c r="BP19" s="319" t="str">
        <f t="shared" si="4"/>
        <v/>
      </c>
      <c r="BQ19" s="319" t="str">
        <f t="shared" si="4"/>
        <v/>
      </c>
    </row>
    <row r="20" spans="1:157" ht="18.75" customHeight="1" x14ac:dyDescent="0.25">
      <c r="A20" s="1521" t="s">
        <v>4</v>
      </c>
      <c r="B20" s="1521"/>
      <c r="C20" s="1521"/>
      <c r="D20" s="1521"/>
      <c r="E20" s="1521"/>
      <c r="F20" s="1522"/>
      <c r="G20" s="1535"/>
      <c r="H20" s="1536"/>
      <c r="I20" s="1537"/>
      <c r="J20" s="1542"/>
      <c r="K20" s="1543"/>
      <c r="L20" s="1544"/>
      <c r="M20" s="1542"/>
      <c r="N20" s="1543"/>
      <c r="O20" s="1544"/>
      <c r="P20" s="1595"/>
      <c r="Q20" s="1596"/>
      <c r="R20" s="1597"/>
      <c r="S20" s="1542"/>
      <c r="T20" s="1543"/>
      <c r="U20" s="1544"/>
      <c r="V20" s="1542"/>
      <c r="W20" s="1543"/>
      <c r="X20" s="1544"/>
      <c r="Y20" s="1542"/>
      <c r="Z20" s="1543"/>
      <c r="AA20" s="1544"/>
    </row>
    <row r="21" spans="1:157" ht="18.75" customHeight="1" x14ac:dyDescent="0.25">
      <c r="A21" s="1521" t="s">
        <v>5</v>
      </c>
      <c r="B21" s="1521"/>
      <c r="C21" s="1521"/>
      <c r="D21" s="1521"/>
      <c r="E21" s="1521"/>
      <c r="F21" s="1522"/>
      <c r="G21" s="1523"/>
      <c r="H21" s="1524"/>
      <c r="I21" s="1525"/>
      <c r="J21" s="1523"/>
      <c r="K21" s="1524"/>
      <c r="L21" s="1525"/>
      <c r="M21" s="1523"/>
      <c r="N21" s="1524"/>
      <c r="O21" s="1525"/>
      <c r="P21" s="1592"/>
      <c r="Q21" s="1593"/>
      <c r="R21" s="1594"/>
      <c r="S21" s="1523"/>
      <c r="T21" s="1527"/>
      <c r="U21" s="1528"/>
      <c r="V21" s="1523"/>
      <c r="W21" s="1527"/>
      <c r="X21" s="1528"/>
      <c r="Y21" s="1523"/>
      <c r="Z21" s="1527"/>
      <c r="AA21" s="1528"/>
    </row>
    <row r="22" spans="1:157" s="27" customFormat="1" ht="15" x14ac:dyDescent="0.25">
      <c r="A22" s="1576"/>
      <c r="B22" s="1576"/>
      <c r="C22" s="1576"/>
      <c r="D22" s="1576"/>
      <c r="E22" s="1576"/>
      <c r="F22" s="1576"/>
      <c r="G22" s="1551" t="str">
        <f>IF(G21="","",BK19)</f>
        <v/>
      </c>
      <c r="H22" s="1551"/>
      <c r="I22" s="1551"/>
      <c r="J22" s="1551" t="str">
        <f t="shared" ref="J22" si="5">IF(J21="","",BN19)</f>
        <v/>
      </c>
      <c r="K22" s="1551"/>
      <c r="L22" s="1551"/>
      <c r="M22" s="1551" t="str">
        <f t="shared" ref="M22" si="6">IF(M21="","",BQ19)</f>
        <v/>
      </c>
      <c r="N22" s="1551"/>
      <c r="O22" s="1551"/>
      <c r="P22" s="1552"/>
      <c r="Q22" s="1552"/>
      <c r="R22" s="1552"/>
      <c r="S22" s="1551" t="str">
        <f t="shared" ref="S22" si="7">IF(S21="","",BW19)</f>
        <v/>
      </c>
      <c r="T22" s="1551"/>
      <c r="U22" s="1551"/>
      <c r="V22" s="1551" t="str">
        <f t="shared" ref="V22" si="8">IF(V21="","",BZ19)</f>
        <v/>
      </c>
      <c r="W22" s="1551"/>
      <c r="X22" s="1551"/>
      <c r="Y22" s="1551" t="str">
        <f t="shared" ref="Y22" si="9">IF(Y21="","",CC19)</f>
        <v/>
      </c>
      <c r="Z22" s="1551"/>
      <c r="AA22" s="1551"/>
      <c r="AB22" s="106"/>
      <c r="AC22" s="153"/>
      <c r="AD22" s="129"/>
      <c r="AE22" s="153"/>
      <c r="AF22" s="153"/>
      <c r="AG22" s="597" t="s">
        <v>133</v>
      </c>
      <c r="AH22" s="597"/>
      <c r="AI22" s="597"/>
      <c r="AJ22" s="597" t="str">
        <f>CONCATENATE(Address!G4,", ",Address!G5," ",Address!M5," ",Address!O5)</f>
        <v xml:space="preserve">,   </v>
      </c>
      <c r="AK22" s="597"/>
      <c r="AL22" s="597"/>
      <c r="AM22" s="597"/>
      <c r="AN22" s="597"/>
      <c r="AO22" s="597"/>
      <c r="AP22" s="597"/>
      <c r="AQ22" s="597"/>
      <c r="AR22" s="597"/>
      <c r="AS22" s="597"/>
      <c r="AT22" s="597"/>
      <c r="AU22" s="597"/>
      <c r="AV22" s="597"/>
      <c r="AW22" s="597"/>
      <c r="AX22" s="597"/>
      <c r="AY22" s="597"/>
      <c r="AZ22" s="597"/>
      <c r="BA22" s="597"/>
      <c r="BB22" s="597"/>
      <c r="BC22" s="597"/>
      <c r="BD22" s="597"/>
      <c r="BE22" s="597"/>
      <c r="BF22" s="597"/>
      <c r="BG22" s="154"/>
      <c r="BH22" s="94"/>
      <c r="BI22" s="597"/>
      <c r="BJ22" s="597" t="s">
        <v>503</v>
      </c>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153"/>
      <c r="CJ22" s="153"/>
      <c r="CK22" s="153"/>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153"/>
      <c r="EA22" s="153"/>
      <c r="EB22" s="153"/>
      <c r="EC22" s="153"/>
      <c r="ED22" s="153"/>
      <c r="EE22" s="153"/>
      <c r="EF22" s="153"/>
      <c r="EG22" s="153"/>
      <c r="EH22" s="153"/>
      <c r="EI22" s="153"/>
      <c r="EJ22" s="153"/>
      <c r="EK22" s="153"/>
      <c r="EL22" s="153"/>
      <c r="EM22" s="153"/>
      <c r="EN22" s="153"/>
      <c r="EO22" s="153"/>
      <c r="EP22" s="153"/>
      <c r="EQ22" s="153"/>
      <c r="ER22" s="153"/>
      <c r="ES22" s="153"/>
      <c r="ET22" s="153"/>
      <c r="EU22" s="153"/>
      <c r="EV22" s="153"/>
      <c r="EW22" s="153"/>
      <c r="EX22" s="153"/>
      <c r="EY22" s="153"/>
      <c r="EZ22" s="153"/>
      <c r="FA22" s="153"/>
    </row>
    <row r="23" spans="1:157" ht="4.3499999999999996" customHeight="1" x14ac:dyDescent="0.25">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G23" s="154" t="s">
        <v>134</v>
      </c>
      <c r="AJ23" s="154" t="str">
        <f>CONCATENATE(Address!R4,", ",Address!R5," ",Address!X5," ",Address!Z5)</f>
        <v xml:space="preserve">,   </v>
      </c>
      <c r="BG23" s="597"/>
      <c r="BH23" s="597"/>
      <c r="BJ23" s="318" t="s">
        <v>118</v>
      </c>
      <c r="BK23" s="321">
        <f>+G246</f>
        <v>0</v>
      </c>
      <c r="BL23" s="321">
        <f>+Address!R4</f>
        <v>0</v>
      </c>
      <c r="BM23" s="321">
        <f>+G32</f>
        <v>0</v>
      </c>
      <c r="BN23" s="386">
        <f>+R32</f>
        <v>0</v>
      </c>
    </row>
    <row r="24" spans="1:157" ht="26.25" x14ac:dyDescent="0.25">
      <c r="A24" s="1533" t="s">
        <v>696</v>
      </c>
      <c r="B24" s="1533"/>
      <c r="C24" s="1533"/>
      <c r="D24" s="1533"/>
      <c r="E24" s="1533"/>
      <c r="F24" s="1533"/>
      <c r="G24" s="1533"/>
      <c r="H24" s="1533"/>
      <c r="I24" s="1533"/>
      <c r="J24" s="1533"/>
      <c r="K24" s="1533"/>
      <c r="L24" s="1533"/>
      <c r="M24" s="1533"/>
      <c r="N24" s="1533"/>
      <c r="O24" s="1533"/>
      <c r="P24" s="1533"/>
      <c r="Q24" s="1533"/>
      <c r="R24" s="1533"/>
      <c r="S24" s="1533"/>
      <c r="T24" s="1533"/>
      <c r="U24" s="1533"/>
      <c r="V24" s="1533"/>
      <c r="W24" s="1533"/>
      <c r="X24" s="1533"/>
      <c r="Y24" s="1533"/>
      <c r="Z24" s="1533"/>
      <c r="AA24" s="1533"/>
      <c r="AB24" s="27"/>
      <c r="BJ24" s="318" t="s">
        <v>101</v>
      </c>
      <c r="BK24" s="320">
        <f ca="1">(+NOW()-Address!G6)/365.25</f>
        <v>117.17320960751134</v>
      </c>
      <c r="BL24" s="320">
        <f ca="1">(+NOW()-Address!R6)/365.25</f>
        <v>117.17320960751134</v>
      </c>
      <c r="BM24" s="320" t="str">
        <f>IF(BM23=0,"",(L34-G34)/365.25)</f>
        <v/>
      </c>
      <c r="BN24" s="320" t="str">
        <f>IF(BN23=0,"",(W34-R34)/365.25)</f>
        <v/>
      </c>
    </row>
    <row r="25" spans="1:157" ht="12" customHeight="1" x14ac:dyDescent="0.2">
      <c r="A25" s="684"/>
      <c r="B25" s="684"/>
      <c r="C25" s="684"/>
      <c r="D25" s="684"/>
      <c r="E25" s="684"/>
      <c r="F25" s="684"/>
      <c r="G25" s="1529" t="s">
        <v>702</v>
      </c>
      <c r="H25" s="1529"/>
      <c r="I25" s="1529"/>
      <c r="J25" s="1529"/>
      <c r="K25" s="736"/>
      <c r="L25" s="1529" t="s">
        <v>703</v>
      </c>
      <c r="M25" s="1529"/>
      <c r="N25" s="1529"/>
      <c r="O25" s="1529"/>
      <c r="P25" s="736"/>
      <c r="Q25" s="736"/>
      <c r="R25" s="736"/>
      <c r="S25" s="1529" t="s">
        <v>702</v>
      </c>
      <c r="T25" s="1529"/>
      <c r="U25" s="1529"/>
      <c r="V25" s="1529"/>
      <c r="W25" s="736"/>
      <c r="X25" s="1529" t="s">
        <v>703</v>
      </c>
      <c r="Y25" s="1529"/>
      <c r="Z25" s="1529"/>
      <c r="AA25" s="1529"/>
      <c r="BJ25" s="318" t="s">
        <v>102</v>
      </c>
      <c r="BK25" s="320">
        <f ca="1">ROUNDDOWN(BK24,0)</f>
        <v>117</v>
      </c>
      <c r="BL25" s="320">
        <f ca="1">ROUNDDOWN(BL24,0)</f>
        <v>117</v>
      </c>
      <c r="BM25" s="320" t="str">
        <f>IF(BM23=0,"",ROUNDDOWN(BM24,0))</f>
        <v/>
      </c>
      <c r="BN25" s="320" t="e">
        <f>ROUNDDOWN(BN24,0)</f>
        <v>#VALUE!</v>
      </c>
    </row>
    <row r="26" spans="1:157" ht="19.149999999999999" customHeight="1" x14ac:dyDescent="0.25">
      <c r="A26" s="1521" t="s">
        <v>704</v>
      </c>
      <c r="B26" s="1521"/>
      <c r="C26" s="1521"/>
      <c r="D26" s="1521"/>
      <c r="E26" s="1521"/>
      <c r="F26" s="1522"/>
      <c r="G26" s="1530" t="s">
        <v>109</v>
      </c>
      <c r="H26" s="1531"/>
      <c r="I26" s="1531"/>
      <c r="J26" s="1532"/>
      <c r="K26" s="739"/>
      <c r="L26" s="1530" t="s">
        <v>706</v>
      </c>
      <c r="M26" s="1531"/>
      <c r="N26" s="1531"/>
      <c r="O26" s="1532"/>
      <c r="P26" s="740"/>
      <c r="Q26" s="740"/>
      <c r="R26" s="739"/>
      <c r="S26" s="1530" t="s">
        <v>109</v>
      </c>
      <c r="T26" s="1531"/>
      <c r="U26" s="1531"/>
      <c r="V26" s="1532"/>
      <c r="W26" s="739"/>
      <c r="X26" s="1530" t="s">
        <v>706</v>
      </c>
      <c r="Y26" s="1531"/>
      <c r="Z26" s="1531"/>
      <c r="AA26" s="1532"/>
      <c r="AG26" s="154" t="s">
        <v>132</v>
      </c>
      <c r="AJ26" s="154" t="str">
        <f>CONCATENATE(G32,", ",G33," ",M33," ",O33)</f>
        <v xml:space="preserve">,   </v>
      </c>
      <c r="BJ26" s="318"/>
      <c r="BK26" s="320">
        <f ca="1">((+BK24-BK25)*365)/30.41</f>
        <v>2.0789709550029176</v>
      </c>
      <c r="BL26" s="320">
        <f ca="1">((+BL24-BL25)*365)/30.41</f>
        <v>2.0789709550029176</v>
      </c>
      <c r="BM26" s="320" t="e">
        <f>((+BM24-BM25)*365)/30.41</f>
        <v>#VALUE!</v>
      </c>
      <c r="BN26" s="320" t="e">
        <f>((+BN24-BN25)*365)/30.41</f>
        <v>#VALUE!</v>
      </c>
    </row>
    <row r="27" spans="1:157" ht="19.149999999999999" customHeight="1" x14ac:dyDescent="0.25">
      <c r="A27" s="1521" t="s">
        <v>701</v>
      </c>
      <c r="B27" s="1521"/>
      <c r="C27" s="1521"/>
      <c r="D27" s="1521"/>
      <c r="E27" s="1521"/>
      <c r="F27" s="1522"/>
      <c r="G27" s="1526" t="s">
        <v>34</v>
      </c>
      <c r="H27" s="1527"/>
      <c r="I27" s="1527"/>
      <c r="J27" s="1528"/>
      <c r="K27" s="737"/>
      <c r="L27" s="1526"/>
      <c r="M27" s="1527"/>
      <c r="N27" s="1527"/>
      <c r="O27" s="1528"/>
      <c r="P27" s="738"/>
      <c r="Q27" s="738"/>
      <c r="R27" s="737"/>
      <c r="S27" s="1526" t="s">
        <v>34</v>
      </c>
      <c r="T27" s="1527"/>
      <c r="U27" s="1527"/>
      <c r="V27" s="1528"/>
      <c r="W27" s="737"/>
      <c r="X27" s="1526"/>
      <c r="Y27" s="1527"/>
      <c r="Z27" s="1527"/>
      <c r="AA27" s="1528"/>
      <c r="AG27" s="154" t="s">
        <v>120</v>
      </c>
      <c r="AJ27" s="154" t="str">
        <f>CONCATENATE(R32,", ",R33," ",X33," ",Z33)</f>
        <v xml:space="preserve">,   </v>
      </c>
      <c r="BJ27" s="318" t="s">
        <v>103</v>
      </c>
      <c r="BK27" s="320">
        <f ca="1">ROUNDDOWN(BK26,0)</f>
        <v>2</v>
      </c>
      <c r="BL27" s="320">
        <f ca="1">ROUNDDOWN(BL26,0)</f>
        <v>2</v>
      </c>
      <c r="BM27" s="320" t="e">
        <f>ROUNDDOWN(BM26,0)</f>
        <v>#VALUE!</v>
      </c>
      <c r="BN27" s="320" t="e">
        <f>ROUNDDOWN(BN26,0)</f>
        <v>#VALUE!</v>
      </c>
    </row>
    <row r="28" spans="1:157" ht="19.149999999999999" customHeight="1" x14ac:dyDescent="0.25">
      <c r="A28" s="1521" t="s">
        <v>705</v>
      </c>
      <c r="B28" s="1521"/>
      <c r="C28" s="1521"/>
      <c r="D28" s="1521"/>
      <c r="E28" s="1521"/>
      <c r="F28" s="1522"/>
      <c r="G28" s="1526"/>
      <c r="H28" s="1527"/>
      <c r="I28" s="1527"/>
      <c r="J28" s="1528"/>
      <c r="K28" s="737"/>
      <c r="L28" s="1526"/>
      <c r="M28" s="1527"/>
      <c r="N28" s="1527"/>
      <c r="O28" s="1528"/>
      <c r="P28" s="738"/>
      <c r="Q28" s="738"/>
      <c r="R28" s="737"/>
      <c r="S28" s="1526"/>
      <c r="T28" s="1527"/>
      <c r="U28" s="1527"/>
      <c r="V28" s="1528"/>
      <c r="W28" s="737"/>
      <c r="X28" s="1526"/>
      <c r="Y28" s="1527"/>
      <c r="Z28" s="1527"/>
      <c r="AA28" s="1528"/>
      <c r="BJ28" s="318" t="s">
        <v>101</v>
      </c>
      <c r="BK28" s="320" t="str">
        <f ca="1">CONCATENATE(BK25,"y ",BK27, "m ")</f>
        <v xml:space="preserve">117y 2m </v>
      </c>
      <c r="BL28" s="320" t="str">
        <f ca="1">CONCATENATE(BL25,"y ",BL27, "m ")</f>
        <v xml:space="preserve">117y 2m </v>
      </c>
      <c r="BM28" s="320" t="e">
        <f>CONCATENATE(BM25,"y ",BM27, "m ")</f>
        <v>#VALUE!</v>
      </c>
      <c r="BN28" s="320" t="e">
        <f>CONCATENATE(BN25,"y ",BN27, "m ")</f>
        <v>#VALUE!</v>
      </c>
    </row>
    <row r="29" spans="1:157" ht="19.149999999999999" customHeight="1" x14ac:dyDescent="0.25">
      <c r="A29" s="1521" t="s">
        <v>93</v>
      </c>
      <c r="B29" s="1521"/>
      <c r="C29" s="1521"/>
      <c r="D29" s="1521"/>
      <c r="E29" s="1521"/>
      <c r="F29" s="1522"/>
      <c r="G29" s="1523"/>
      <c r="H29" s="1524"/>
      <c r="I29" s="1524"/>
      <c r="J29" s="1525"/>
      <c r="K29" s="737"/>
      <c r="L29" s="1523"/>
      <c r="M29" s="1524"/>
      <c r="N29" s="1524"/>
      <c r="O29" s="1525"/>
      <c r="P29" s="738"/>
      <c r="Q29" s="738"/>
      <c r="R29" s="737"/>
      <c r="S29" s="1523"/>
      <c r="T29" s="1524"/>
      <c r="U29" s="1524"/>
      <c r="V29" s="1525"/>
      <c r="W29" s="737"/>
      <c r="X29" s="1523"/>
      <c r="Y29" s="1524"/>
      <c r="Z29" s="1524"/>
      <c r="AA29" s="1525"/>
      <c r="AD29" s="767"/>
      <c r="AE29" s="767"/>
      <c r="AG29" s="154" t="s">
        <v>135</v>
      </c>
      <c r="AJ29" s="154" t="e">
        <f>IF(#REF!=TRUE,+AJ22,CONCATENATE(G35,", ",G36," ",M36," ",O36))</f>
        <v>#REF!</v>
      </c>
    </row>
    <row r="30" spans="1:157" ht="12" customHeight="1" x14ac:dyDescent="0.2">
      <c r="A30" s="684"/>
      <c r="B30" s="684"/>
      <c r="C30" s="684"/>
      <c r="D30" s="684"/>
      <c r="E30" s="684"/>
      <c r="F30" s="684"/>
      <c r="G30" s="1529" t="s">
        <v>713</v>
      </c>
      <c r="H30" s="1529"/>
      <c r="I30" s="1529"/>
      <c r="J30" s="1529"/>
      <c r="K30" s="736"/>
      <c r="L30" s="1529" t="s">
        <v>714</v>
      </c>
      <c r="M30" s="1529"/>
      <c r="N30" s="1529"/>
      <c r="O30" s="1529"/>
      <c r="P30" s="736" t="str">
        <f>IF(Profile!G5="","",CONCATENATE(""))</f>
        <v/>
      </c>
      <c r="Q30" s="736"/>
      <c r="R30" s="736"/>
      <c r="S30" s="1529" t="s">
        <v>713</v>
      </c>
      <c r="T30" s="1529"/>
      <c r="U30" s="1529"/>
      <c r="V30" s="1529"/>
      <c r="W30" s="736"/>
      <c r="X30" s="1529" t="s">
        <v>714</v>
      </c>
      <c r="Y30" s="1529"/>
      <c r="Z30" s="1529"/>
      <c r="AA30" s="1529"/>
      <c r="AG30" s="154" t="s">
        <v>136</v>
      </c>
      <c r="AJ30" s="154" t="e">
        <f>IF(#REF!=TRUE,+AJ23,CONCATENATE(R35,", ",R36," ",X36," ",Z36))</f>
        <v>#REF!</v>
      </c>
      <c r="BL30" s="94">
        <f>IF(Funding!G12="Invest",1,0)</f>
        <v>1</v>
      </c>
    </row>
    <row r="31" spans="1:157" ht="18.75" customHeight="1" x14ac:dyDescent="0.25">
      <c r="A31" s="1521" t="s">
        <v>704</v>
      </c>
      <c r="B31" s="1521"/>
      <c r="C31" s="1521"/>
      <c r="D31" s="1521"/>
      <c r="E31" s="1521"/>
      <c r="F31" s="1522"/>
      <c r="G31" s="1530" t="s">
        <v>706</v>
      </c>
      <c r="H31" s="1531"/>
      <c r="I31" s="1531"/>
      <c r="J31" s="1532"/>
      <c r="K31" s="739"/>
      <c r="L31" s="1530" t="s">
        <v>706</v>
      </c>
      <c r="M31" s="1531"/>
      <c r="N31" s="1531"/>
      <c r="O31" s="1532"/>
      <c r="P31" s="740"/>
      <c r="Q31" s="740"/>
      <c r="R31" s="739"/>
      <c r="S31" s="1530" t="s">
        <v>706</v>
      </c>
      <c r="T31" s="1531"/>
      <c r="U31" s="1531"/>
      <c r="V31" s="1532"/>
      <c r="W31" s="739"/>
      <c r="X31" s="1530" t="s">
        <v>706</v>
      </c>
      <c r="Y31" s="1531"/>
      <c r="Z31" s="1531"/>
      <c r="AA31" s="1532"/>
      <c r="AC31" s="153"/>
      <c r="AD31" s="153"/>
      <c r="AE31" s="153"/>
      <c r="AF31" s="153"/>
      <c r="BJ31" s="94" t="s">
        <v>622</v>
      </c>
      <c r="BL31" s="94" t="s">
        <v>683</v>
      </c>
    </row>
    <row r="32" spans="1:157" ht="18.75" customHeight="1" x14ac:dyDescent="0.25">
      <c r="A32" s="1521" t="s">
        <v>701</v>
      </c>
      <c r="B32" s="1521"/>
      <c r="C32" s="1521"/>
      <c r="D32" s="1521"/>
      <c r="E32" s="1521"/>
      <c r="F32" s="1522"/>
      <c r="G32" s="1526"/>
      <c r="H32" s="1527"/>
      <c r="I32" s="1527"/>
      <c r="J32" s="1528"/>
      <c r="K32" s="737"/>
      <c r="L32" s="1526"/>
      <c r="M32" s="1527"/>
      <c r="N32" s="1527"/>
      <c r="O32" s="1528"/>
      <c r="P32" s="738"/>
      <c r="Q32" s="738"/>
      <c r="R32" s="737"/>
      <c r="S32" s="1526"/>
      <c r="T32" s="1527"/>
      <c r="U32" s="1527"/>
      <c r="V32" s="1528"/>
      <c r="W32" s="737"/>
      <c r="X32" s="1526"/>
      <c r="Y32" s="1527"/>
      <c r="Z32" s="1527"/>
      <c r="AA32" s="1528"/>
      <c r="AB32" s="157"/>
      <c r="BJ32" s="415" t="e">
        <f>SUM(+Address!L9,Address!W9)</f>
        <v>#VALUE!</v>
      </c>
      <c r="BL32" s="415" t="e">
        <f>+BJ32*BL30</f>
        <v>#VALUE!</v>
      </c>
    </row>
    <row r="33" spans="1:27" ht="18.75" customHeight="1" x14ac:dyDescent="0.25">
      <c r="A33" s="1521" t="s">
        <v>705</v>
      </c>
      <c r="B33" s="1521"/>
      <c r="C33" s="1521"/>
      <c r="D33" s="1521"/>
      <c r="E33" s="1521"/>
      <c r="F33" s="1522"/>
      <c r="G33" s="1526"/>
      <c r="H33" s="1527"/>
      <c r="I33" s="1527"/>
      <c r="J33" s="1528"/>
      <c r="K33" s="737"/>
      <c r="L33" s="1526"/>
      <c r="M33" s="1527"/>
      <c r="N33" s="1527"/>
      <c r="O33" s="1528"/>
      <c r="P33" s="738"/>
      <c r="Q33" s="738"/>
      <c r="R33" s="737"/>
      <c r="S33" s="1526"/>
      <c r="T33" s="1527"/>
      <c r="U33" s="1527"/>
      <c r="V33" s="1528"/>
      <c r="W33" s="737"/>
      <c r="X33" s="1526"/>
      <c r="Y33" s="1527"/>
      <c r="Z33" s="1527"/>
      <c r="AA33" s="1528"/>
    </row>
    <row r="34" spans="1:27" ht="18.75" customHeight="1" x14ac:dyDescent="0.25">
      <c r="A34" s="1521" t="s">
        <v>93</v>
      </c>
      <c r="B34" s="1521"/>
      <c r="C34" s="1521"/>
      <c r="D34" s="1521"/>
      <c r="E34" s="1521"/>
      <c r="F34" s="1522"/>
      <c r="G34" s="1523"/>
      <c r="H34" s="1524"/>
      <c r="I34" s="1524"/>
      <c r="J34" s="1525"/>
      <c r="K34" s="737"/>
      <c r="L34" s="1523"/>
      <c r="M34" s="1524"/>
      <c r="N34" s="1524"/>
      <c r="O34" s="1525"/>
      <c r="P34" s="738"/>
      <c r="Q34" s="738"/>
      <c r="R34" s="737"/>
      <c r="S34" s="1523"/>
      <c r="T34" s="1524"/>
      <c r="U34" s="1524"/>
      <c r="V34" s="1525"/>
      <c r="W34" s="737"/>
      <c r="X34" s="1523"/>
      <c r="Y34" s="1524"/>
      <c r="Z34" s="1524"/>
      <c r="AA34" s="1525"/>
    </row>
    <row r="35" spans="1:27" ht="18.75" customHeight="1" x14ac:dyDescent="0.25">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row>
    <row r="36" spans="1:27" ht="18.75" customHeight="1" x14ac:dyDescent="0.25">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row>
    <row r="37" spans="1:27" ht="18.75" customHeight="1" x14ac:dyDescent="0.25">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row>
    <row r="38" spans="1:27" ht="18.75" customHeight="1" x14ac:dyDescent="0.25">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row>
    <row r="39" spans="1:27" ht="18.75" customHeight="1" x14ac:dyDescent="0.25">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row>
    <row r="40" spans="1:27" ht="18.75" customHeight="1" x14ac:dyDescent="0.25">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row>
    <row r="41" spans="1:27" ht="18.75" customHeight="1" x14ac:dyDescent="0.25">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row>
    <row r="42" spans="1:27" ht="18.75" customHeight="1" x14ac:dyDescent="0.25">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row>
  </sheetData>
  <mergeCells count="171">
    <mergeCell ref="A24:AA24"/>
    <mergeCell ref="A26:F26"/>
    <mergeCell ref="G26:J26"/>
    <mergeCell ref="A29:F29"/>
    <mergeCell ref="G29:J29"/>
    <mergeCell ref="X26:AA26"/>
    <mergeCell ref="X28:AA28"/>
    <mergeCell ref="X29:AA29"/>
    <mergeCell ref="X27:AA27"/>
    <mergeCell ref="G28:J28"/>
    <mergeCell ref="S26:V26"/>
    <mergeCell ref="S29:V29"/>
    <mergeCell ref="L26:O26"/>
    <mergeCell ref="L29:O29"/>
    <mergeCell ref="A28:F28"/>
    <mergeCell ref="L28:O28"/>
    <mergeCell ref="S28:V28"/>
    <mergeCell ref="A27:F27"/>
    <mergeCell ref="G27:J27"/>
    <mergeCell ref="L27:O27"/>
    <mergeCell ref="AJ11:AS11"/>
    <mergeCell ref="S27:V27"/>
    <mergeCell ref="A8:F8"/>
    <mergeCell ref="A9:F9"/>
    <mergeCell ref="A10:F10"/>
    <mergeCell ref="G9:H9"/>
    <mergeCell ref="J9:P9"/>
    <mergeCell ref="G10:H10"/>
    <mergeCell ref="U9:AA9"/>
    <mergeCell ref="Y21:AA21"/>
    <mergeCell ref="X16:AA16"/>
    <mergeCell ref="R14:Z14"/>
    <mergeCell ref="S19:U19"/>
    <mergeCell ref="V19:X19"/>
    <mergeCell ref="M21:O21"/>
    <mergeCell ref="P21:R21"/>
    <mergeCell ref="J16:K16"/>
    <mergeCell ref="G17:P17"/>
    <mergeCell ref="P20:R20"/>
    <mergeCell ref="A21:F21"/>
    <mergeCell ref="G25:J25"/>
    <mergeCell ref="S25:V25"/>
    <mergeCell ref="L25:O25"/>
    <mergeCell ref="X25:AA25"/>
    <mergeCell ref="BE3:BF3"/>
    <mergeCell ref="A6:F6"/>
    <mergeCell ref="BE4:BF4"/>
    <mergeCell ref="AJ4:AS4"/>
    <mergeCell ref="AT4:BC4"/>
    <mergeCell ref="V6:W6"/>
    <mergeCell ref="X6:AA6"/>
    <mergeCell ref="AT8:BC8"/>
    <mergeCell ref="AJ8:AS8"/>
    <mergeCell ref="R9:S9"/>
    <mergeCell ref="A4:F4"/>
    <mergeCell ref="X5:AA5"/>
    <mergeCell ref="G4:H4"/>
    <mergeCell ref="R4:S4"/>
    <mergeCell ref="G5:I5"/>
    <mergeCell ref="U5:W5"/>
    <mergeCell ref="T12:Z12"/>
    <mergeCell ref="T13:Z13"/>
    <mergeCell ref="AT10:BC10"/>
    <mergeCell ref="AJ9:AS9"/>
    <mergeCell ref="A22:F22"/>
    <mergeCell ref="A18:F18"/>
    <mergeCell ref="G18:P18"/>
    <mergeCell ref="G15:O15"/>
    <mergeCell ref="J5:L5"/>
    <mergeCell ref="M5:P5"/>
    <mergeCell ref="A14:F14"/>
    <mergeCell ref="A15:F15"/>
    <mergeCell ref="A17:F17"/>
    <mergeCell ref="A5:F5"/>
    <mergeCell ref="M6:P6"/>
    <mergeCell ref="A11:D11"/>
    <mergeCell ref="G21:I21"/>
    <mergeCell ref="G11:H11"/>
    <mergeCell ref="M19:O19"/>
    <mergeCell ref="P19:R19"/>
    <mergeCell ref="R16:T16"/>
    <mergeCell ref="R15:Z15"/>
    <mergeCell ref="G14:O14"/>
    <mergeCell ref="G13:H13"/>
    <mergeCell ref="R12:S12"/>
    <mergeCell ref="R13:S13"/>
    <mergeCell ref="AH18:AL18"/>
    <mergeCell ref="Y19:AA19"/>
    <mergeCell ref="V21:X21"/>
    <mergeCell ref="AJ12:AS12"/>
    <mergeCell ref="AT12:BC12"/>
    <mergeCell ref="R5:T5"/>
    <mergeCell ref="I4:P4"/>
    <mergeCell ref="T4:AA4"/>
    <mergeCell ref="AO5:AS5"/>
    <mergeCell ref="AT5:AX5"/>
    <mergeCell ref="R17:AA17"/>
    <mergeCell ref="AY5:BC5"/>
    <mergeCell ref="AJ5:AN5"/>
    <mergeCell ref="AJ7:AS7"/>
    <mergeCell ref="AT11:BC11"/>
    <mergeCell ref="U16:V16"/>
    <mergeCell ref="G16:I16"/>
    <mergeCell ref="G12:H12"/>
    <mergeCell ref="M7:P7"/>
    <mergeCell ref="AJ6:AS6"/>
    <mergeCell ref="AT9:BC9"/>
    <mergeCell ref="AT6:BC6"/>
    <mergeCell ref="AJ10:AS10"/>
    <mergeCell ref="AT7:BC7"/>
    <mergeCell ref="Y22:AA22"/>
    <mergeCell ref="P22:R22"/>
    <mergeCell ref="S21:U21"/>
    <mergeCell ref="V20:X20"/>
    <mergeCell ref="G22:I22"/>
    <mergeCell ref="M22:O22"/>
    <mergeCell ref="J22:L22"/>
    <mergeCell ref="J21:L21"/>
    <mergeCell ref="M20:O20"/>
    <mergeCell ref="S22:U22"/>
    <mergeCell ref="V22:X22"/>
    <mergeCell ref="Y20:AA20"/>
    <mergeCell ref="S20:U20"/>
    <mergeCell ref="A2:AA2"/>
    <mergeCell ref="A1:P1"/>
    <mergeCell ref="A20:F20"/>
    <mergeCell ref="G6:J6"/>
    <mergeCell ref="K6:L6"/>
    <mergeCell ref="K7:L7"/>
    <mergeCell ref="R7:U7"/>
    <mergeCell ref="V7:W7"/>
    <mergeCell ref="X7:AA7"/>
    <mergeCell ref="R6:U6"/>
    <mergeCell ref="G7:J7"/>
    <mergeCell ref="A19:F19"/>
    <mergeCell ref="J19:L19"/>
    <mergeCell ref="J20:L20"/>
    <mergeCell ref="G19:I19"/>
    <mergeCell ref="G20:I20"/>
    <mergeCell ref="A7:F7"/>
    <mergeCell ref="M16:P16"/>
    <mergeCell ref="R11:S11"/>
    <mergeCell ref="R18:AA18"/>
    <mergeCell ref="I13:O13"/>
    <mergeCell ref="I11:O11"/>
    <mergeCell ref="I12:O12"/>
    <mergeCell ref="T11:Z11"/>
    <mergeCell ref="G30:J30"/>
    <mergeCell ref="L30:O30"/>
    <mergeCell ref="S30:V30"/>
    <mergeCell ref="X30:AA30"/>
    <mergeCell ref="A31:F31"/>
    <mergeCell ref="L31:O31"/>
    <mergeCell ref="S31:V31"/>
    <mergeCell ref="X31:AA31"/>
    <mergeCell ref="G31:J31"/>
    <mergeCell ref="A34:F34"/>
    <mergeCell ref="G34:J34"/>
    <mergeCell ref="L34:O34"/>
    <mergeCell ref="S34:V34"/>
    <mergeCell ref="X34:AA34"/>
    <mergeCell ref="A32:F32"/>
    <mergeCell ref="G32:J32"/>
    <mergeCell ref="L32:O32"/>
    <mergeCell ref="S32:V32"/>
    <mergeCell ref="X32:AA32"/>
    <mergeCell ref="A33:F33"/>
    <mergeCell ref="G33:J33"/>
    <mergeCell ref="L33:O33"/>
    <mergeCell ref="S33:V33"/>
    <mergeCell ref="X33:AA33"/>
  </mergeCells>
  <conditionalFormatting sqref="I11">
    <cfRule type="expression" dxfId="194" priority="63">
      <formula>"&lt;100000"</formula>
    </cfRule>
  </conditionalFormatting>
  <conditionalFormatting sqref="P11:P15">
    <cfRule type="iconSet" priority="38">
      <iconSet iconSet="3Symbols2" showValue="0">
        <cfvo type="percent" val="0"/>
        <cfvo type="num" val="0.5"/>
        <cfvo type="num" val="1"/>
      </iconSet>
    </cfRule>
  </conditionalFormatting>
  <conditionalFormatting sqref="AA11:AA15">
    <cfRule type="iconSet" priority="37">
      <iconSet iconSet="3Symbols2" showValue="0">
        <cfvo type="percent" val="0"/>
        <cfvo type="num" val="0.5"/>
        <cfvo type="num" val="1"/>
      </iconSet>
    </cfRule>
  </conditionalFormatting>
  <conditionalFormatting sqref="G29:J29">
    <cfRule type="expression" dxfId="193" priority="36">
      <formula>G29&lt;NOW()+1</formula>
    </cfRule>
  </conditionalFormatting>
  <conditionalFormatting sqref="L29:O29">
    <cfRule type="expression" dxfId="192" priority="35">
      <formula>L29&lt;NOW()+1</formula>
    </cfRule>
  </conditionalFormatting>
  <conditionalFormatting sqref="S29:V29">
    <cfRule type="expression" dxfId="191" priority="34">
      <formula>S29&lt;NOW()+1</formula>
    </cfRule>
  </conditionalFormatting>
  <conditionalFormatting sqref="X29:AA29">
    <cfRule type="expression" dxfId="190" priority="33">
      <formula>X29&lt;NOW()+1</formula>
    </cfRule>
  </conditionalFormatting>
  <conditionalFormatting sqref="G34:J34">
    <cfRule type="expression" dxfId="189" priority="32">
      <formula>G34&lt;NOW()+1</formula>
    </cfRule>
  </conditionalFormatting>
  <conditionalFormatting sqref="L34:O34">
    <cfRule type="expression" dxfId="188" priority="31">
      <formula>L34&lt;NOW()+1</formula>
    </cfRule>
  </conditionalFormatting>
  <conditionalFormatting sqref="S34:V34">
    <cfRule type="expression" dxfId="187" priority="30">
      <formula>S34&lt;NOW()+1</formula>
    </cfRule>
  </conditionalFormatting>
  <conditionalFormatting sqref="X34:AA34">
    <cfRule type="expression" dxfId="186" priority="29">
      <formula>X34&lt;NOW()+1</formula>
    </cfRule>
  </conditionalFormatting>
  <conditionalFormatting sqref="G26">
    <cfRule type="expression" dxfId="185" priority="15">
      <formula>G26="Add Document"</formula>
    </cfRule>
  </conditionalFormatting>
  <conditionalFormatting sqref="S26">
    <cfRule type="expression" dxfId="184" priority="4">
      <formula>S26="Add Document"</formula>
    </cfRule>
  </conditionalFormatting>
  <conditionalFormatting sqref="G31">
    <cfRule type="expression" dxfId="183" priority="7">
      <formula>G31="Add Document"</formula>
    </cfRule>
  </conditionalFormatting>
  <conditionalFormatting sqref="L26">
    <cfRule type="expression" dxfId="182" priority="6">
      <formula>L26="Add Document"</formula>
    </cfRule>
  </conditionalFormatting>
  <conditionalFormatting sqref="L31">
    <cfRule type="expression" dxfId="181" priority="5">
      <formula>L31="Add Document"</formula>
    </cfRule>
  </conditionalFormatting>
  <conditionalFormatting sqref="X26">
    <cfRule type="expression" dxfId="180" priority="3">
      <formula>X26="Add Document"</formula>
    </cfRule>
  </conditionalFormatting>
  <conditionalFormatting sqref="S31">
    <cfRule type="expression" dxfId="179" priority="2">
      <formula>S31="Add Document"</formula>
    </cfRule>
  </conditionalFormatting>
  <conditionalFormatting sqref="X31">
    <cfRule type="expression" dxfId="178" priority="1">
      <formula>X31="Add Document"</formula>
    </cfRule>
  </conditionalFormatting>
  <dataValidations count="1">
    <dataValidation type="list" allowBlank="1" showInputMessage="1" showErrorMessage="1" sqref="U16:V16">
      <formula1>$AE$27:$AE$28</formula1>
    </dataValidation>
  </dataValidations>
  <hyperlinks>
    <hyperlink ref="AD11" r:id="rId1"/>
  </hyperlinks>
  <printOptions horizontalCentered="1"/>
  <pageMargins left="0.23622047244094491" right="3.937007874015748E-2" top="0.74803149606299213" bottom="0.74803149606299213" header="0.31496062992125984" footer="0.31496062992125984"/>
  <pageSetup paperSize="9" orientation="portrait" r:id="rId2"/>
  <headerFooter alignWithMargins="0">
    <oddHeader>&amp;C&amp;G</oddHeader>
    <oddFooter>&amp;R&amp;G</oddFooter>
  </headerFooter>
  <legacyDrawing r:id="rId3"/>
  <legacyDrawingHF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Settings!$AD$28:$AD$29</xm:f>
          </x14:formula1>
          <xm:sqref>M7:P7 X7:AA7</xm:sqref>
        </x14:dataValidation>
        <x14:dataValidation type="list" allowBlank="1" showInputMessage="1" showErrorMessage="1">
          <x14:formula1>
            <xm:f>Settings!$AE$28:$AE$29</xm:f>
          </x14:formula1>
          <xm:sqref>J16:K16</xm:sqref>
        </x14:dataValidation>
        <x14:dataValidation type="list" allowBlank="1" showInputMessage="1" showErrorMessage="1">
          <x14:formula1>
            <xm:f>Settings!$AB$28:$AB$33</xm:f>
          </x14:formula1>
          <xm:sqref>G4:H4</xm:sqref>
        </x14:dataValidation>
        <x14:dataValidation type="list" allowBlank="1" showInputMessage="1" showErrorMessage="1">
          <x14:formula1>
            <xm:f>Settings!$AB$28:$AB$32</xm:f>
          </x14:formula1>
          <xm:sqref>R4</xm:sqref>
        </x14:dataValidation>
        <x14:dataValidation type="list" allowBlank="1" showInputMessage="1" showErrorMessage="1">
          <x14:formula1>
            <xm:f>Settings!$AE$28:$AE$30</xm:f>
          </x14:formula1>
          <xm:sqref>G9:H9 R9:S9</xm:sqref>
        </x14:dataValidation>
        <x14:dataValidation type="list" allowBlank="1" showInputMessage="1" showErrorMessage="1" promptTitle="Marital Status - Please Choose">
          <x14:formula1>
            <xm:f>Settings!$AB$19:$AB$24</xm:f>
          </x14:formula1>
          <xm:sqref>X6:AA6 M6:P6</xm:sqref>
        </x14:dataValidation>
        <x14:dataValidation type="list" allowBlank="1" showInputMessage="1" showErrorMessage="1">
          <x14:formula1>
            <xm:f>Settings!$AH$3:$AH$12</xm:f>
          </x14:formula1>
          <xm:sqref>G26:J26 G31:J31 L26:O26 L31:O31 S26:V26 X26:AA26 S31:V31 X31:AA31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B100"/>
  <sheetViews>
    <sheetView showGridLines="0" showRuler="0" zoomScaleNormal="100" zoomScalePageLayoutView="96" workbookViewId="0">
      <selection sqref="A1:Q1"/>
    </sheetView>
  </sheetViews>
  <sheetFormatPr defaultColWidth="3.5703125" defaultRowHeight="18.75" customHeight="1" x14ac:dyDescent="0.25"/>
  <cols>
    <col min="1" max="16" width="3.5703125" style="21"/>
    <col min="17" max="17" width="3.5703125" style="23"/>
    <col min="18" max="28" width="3.5703125" style="21"/>
    <col min="29" max="29" width="3.5703125" style="106" customWidth="1"/>
    <col min="30" max="30" width="3.5703125" style="129" customWidth="1"/>
    <col min="31" max="31" width="128.5703125" style="129" customWidth="1"/>
    <col min="32" max="33" width="3.5703125" style="129" customWidth="1"/>
    <col min="34" max="36" width="3.5703125" style="431" customWidth="1"/>
    <col min="37" max="37" width="4.28515625" style="431" customWidth="1"/>
    <col min="38" max="47" width="3.5703125" style="431" customWidth="1"/>
    <col min="48" max="48" width="4" style="431" customWidth="1"/>
    <col min="49" max="57" width="3.5703125" style="431" customWidth="1"/>
    <col min="58" max="58" width="38.5703125" style="431" customWidth="1"/>
    <col min="59" max="59" width="10.5703125" style="431" customWidth="1"/>
    <col min="60" max="60" width="3.5703125" style="431" customWidth="1"/>
    <col min="61" max="61" width="16.28515625" style="94" customWidth="1"/>
    <col min="62" max="72" width="10.5703125" style="94" customWidth="1"/>
    <col min="73" max="75" width="3.5703125" style="94" customWidth="1"/>
    <col min="76" max="87" width="3.5703125" style="94"/>
    <col min="88" max="158" width="3.5703125" style="129"/>
    <col min="159" max="16384" width="3.5703125" style="21"/>
  </cols>
  <sheetData>
    <row r="1" spans="1:158" s="129" customFormat="1" ht="60" customHeight="1" x14ac:dyDescent="0.25">
      <c r="A1" s="1622" t="s">
        <v>1332</v>
      </c>
      <c r="B1" s="1622"/>
      <c r="C1" s="1622"/>
      <c r="D1" s="1622"/>
      <c r="E1" s="1622"/>
      <c r="F1" s="1622"/>
      <c r="G1" s="1622"/>
      <c r="H1" s="1622"/>
      <c r="I1" s="1622"/>
      <c r="J1" s="1622"/>
      <c r="K1" s="1622"/>
      <c r="L1" s="1622"/>
      <c r="M1" s="1622"/>
      <c r="N1" s="1622"/>
      <c r="O1" s="1622"/>
      <c r="P1" s="1622"/>
      <c r="Q1" s="1622"/>
      <c r="R1" s="21"/>
      <c r="S1" s="21"/>
      <c r="T1" s="21"/>
      <c r="U1" s="21"/>
      <c r="V1" s="21"/>
      <c r="W1" s="21"/>
      <c r="X1" s="21"/>
      <c r="Y1" s="21"/>
      <c r="Z1" s="21"/>
      <c r="AA1" s="21"/>
      <c r="AB1" s="21"/>
      <c r="AC1" s="106"/>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row>
    <row r="2" spans="1:158" s="129" customFormat="1" ht="18.600000000000001" customHeight="1" thickBot="1" x14ac:dyDescent="0.3">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
      <c r="AC2" s="366"/>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t="str">
        <f>TEXT(LoanTotalAmount,"$0,000")</f>
        <v>$0,000</v>
      </c>
      <c r="BG2" s="431"/>
      <c r="BH2" s="431"/>
      <c r="BI2" s="94"/>
      <c r="BJ2" s="322"/>
      <c r="BK2" s="323" t="s">
        <v>104</v>
      </c>
      <c r="BL2" s="322"/>
      <c r="BM2" s="322"/>
      <c r="BN2" s="322"/>
      <c r="BO2" s="322"/>
      <c r="BP2" s="322"/>
      <c r="BQ2" s="93"/>
      <c r="BR2" s="93"/>
      <c r="BS2" s="93"/>
      <c r="BT2" s="93"/>
      <c r="BU2" s="93"/>
      <c r="BV2" s="93"/>
      <c r="BW2" s="93"/>
      <c r="BX2" s="93"/>
      <c r="BY2" s="93"/>
      <c r="BZ2" s="93"/>
      <c r="CA2" s="93"/>
      <c r="CB2" s="93"/>
      <c r="CC2" s="93"/>
      <c r="CD2" s="93"/>
      <c r="CE2" s="93"/>
      <c r="CF2" s="93"/>
      <c r="CG2" s="93"/>
      <c r="CH2" s="93"/>
      <c r="CI2" s="93"/>
    </row>
    <row r="3" spans="1:158" ht="18.75" customHeight="1" x14ac:dyDescent="0.25">
      <c r="A3" s="607"/>
      <c r="B3" s="2146" t="s">
        <v>669</v>
      </c>
      <c r="C3" s="2146"/>
      <c r="D3" s="2146"/>
      <c r="E3" s="2146"/>
      <c r="F3" s="2146"/>
      <c r="G3" s="656"/>
      <c r="H3" s="2147" t="str">
        <f>+Funding!G3</f>
        <v xml:space="preserve"> </v>
      </c>
      <c r="I3" s="2147"/>
      <c r="J3" s="2147"/>
      <c r="K3" s="2147"/>
      <c r="L3" s="2147"/>
      <c r="M3" s="2147"/>
      <c r="N3" s="2147"/>
      <c r="O3" s="2147"/>
      <c r="P3" s="2147"/>
      <c r="Q3" s="2147"/>
      <c r="R3" s="2147"/>
      <c r="S3" s="2146" t="s">
        <v>685</v>
      </c>
      <c r="T3" s="2146"/>
      <c r="U3" s="2146"/>
      <c r="V3" s="2148" t="str">
        <f>+Funding!U3</f>
        <v>Purchase - Invest</v>
      </c>
      <c r="W3" s="2148"/>
      <c r="X3" s="2148"/>
      <c r="Y3" s="2148"/>
      <c r="Z3" s="2148"/>
      <c r="AA3" s="2148"/>
    </row>
    <row r="4" spans="1:158" ht="18.75" customHeight="1" x14ac:dyDescent="0.25">
      <c r="A4" s="607"/>
      <c r="B4" s="2146" t="s">
        <v>670</v>
      </c>
      <c r="C4" s="2146"/>
      <c r="D4" s="2146"/>
      <c r="E4" s="2146"/>
      <c r="F4" s="2146"/>
      <c r="G4" s="656"/>
      <c r="H4" s="2149" t="str">
        <f>+Funding!G4</f>
        <v/>
      </c>
      <c r="I4" s="2149"/>
      <c r="J4" s="2149"/>
      <c r="K4" s="608"/>
      <c r="L4" s="608"/>
      <c r="M4" s="608"/>
      <c r="N4" s="608"/>
      <c r="O4" s="608"/>
      <c r="P4" s="608"/>
      <c r="Q4" s="608"/>
      <c r="R4" s="608"/>
      <c r="S4" s="2146" t="s">
        <v>686</v>
      </c>
      <c r="T4" s="2146"/>
      <c r="U4" s="2146"/>
      <c r="V4" s="2148" t="str">
        <f>+Funding!U4</f>
        <v/>
      </c>
      <c r="W4" s="2148"/>
      <c r="X4" s="2148"/>
      <c r="Y4" s="2148"/>
      <c r="Z4" s="2148"/>
      <c r="AA4" s="607"/>
    </row>
    <row r="5" spans="1:158" s="432" customFormat="1" ht="12.4" customHeight="1" x14ac:dyDescent="0.25">
      <c r="A5" s="607"/>
      <c r="B5" s="2150" t="s">
        <v>831</v>
      </c>
      <c r="C5" s="2150"/>
      <c r="D5" s="2150"/>
      <c r="E5" s="2150"/>
      <c r="F5" s="2150"/>
      <c r="G5" s="2150"/>
      <c r="H5" s="2150"/>
      <c r="I5" s="2150"/>
      <c r="J5" s="2150"/>
      <c r="K5" s="2150"/>
      <c r="L5" s="2150"/>
      <c r="M5" s="2150"/>
      <c r="N5" s="2150"/>
      <c r="O5" s="2150"/>
      <c r="P5" s="2150"/>
      <c r="Q5" s="2150"/>
      <c r="R5" s="2150"/>
      <c r="S5" s="2150"/>
      <c r="T5" s="2150"/>
      <c r="U5" s="2150"/>
      <c r="V5" s="2150"/>
      <c r="W5" s="2150"/>
      <c r="X5" s="2150"/>
      <c r="Y5" s="2150"/>
      <c r="Z5" s="2150"/>
      <c r="AA5" s="607"/>
      <c r="AC5" s="433"/>
      <c r="AD5" s="434"/>
      <c r="AE5" s="434"/>
      <c r="AF5" s="434"/>
      <c r="AG5" s="434"/>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row>
    <row r="6" spans="1:158" s="432" customFormat="1" ht="18.75" customHeight="1" x14ac:dyDescent="0.25">
      <c r="A6" s="21"/>
      <c r="B6" s="21"/>
      <c r="C6" s="21"/>
      <c r="D6" s="21"/>
      <c r="E6" s="21"/>
      <c r="F6" s="21"/>
      <c r="G6" s="21"/>
      <c r="H6" s="21"/>
      <c r="I6" s="21"/>
      <c r="J6" s="21"/>
      <c r="K6" s="21"/>
      <c r="L6" s="21"/>
      <c r="M6" s="21"/>
      <c r="N6" s="21"/>
      <c r="O6" s="21"/>
      <c r="P6" s="21"/>
      <c r="Q6" s="23"/>
      <c r="R6" s="21"/>
      <c r="S6" s="21"/>
      <c r="T6" s="21"/>
      <c r="U6" s="21"/>
      <c r="V6" s="21"/>
      <c r="W6" s="21"/>
      <c r="X6" s="21"/>
      <c r="Y6" s="21"/>
      <c r="Z6" s="21"/>
      <c r="AA6" s="21"/>
      <c r="AC6" s="433"/>
      <c r="AD6" s="434"/>
      <c r="AE6" s="434"/>
      <c r="AF6" s="434"/>
      <c r="AG6" s="434"/>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row>
    <row r="7" spans="1:158" s="432" customFormat="1" ht="18.600000000000001" customHeight="1" x14ac:dyDescent="0.25">
      <c r="A7" s="21"/>
      <c r="B7" s="21"/>
      <c r="C7" s="21"/>
      <c r="D7" s="21"/>
      <c r="E7" s="21"/>
      <c r="F7" s="21"/>
      <c r="G7" s="21"/>
      <c r="H7" s="21"/>
      <c r="I7" s="21"/>
      <c r="J7" s="21"/>
      <c r="K7" s="21"/>
      <c r="L7" s="21"/>
      <c r="M7" s="21"/>
      <c r="N7" s="21"/>
      <c r="O7" s="21"/>
      <c r="P7" s="21"/>
      <c r="Q7" s="23"/>
      <c r="R7" s="21"/>
      <c r="S7" s="21"/>
      <c r="T7" s="21"/>
      <c r="U7" s="21"/>
      <c r="V7" s="21"/>
      <c r="W7" s="21"/>
      <c r="X7" s="21"/>
      <c r="Y7" s="21"/>
      <c r="Z7" s="21"/>
      <c r="AA7" s="21"/>
      <c r="AC7" s="433"/>
      <c r="AD7" s="434"/>
      <c r="AE7" s="434"/>
      <c r="AF7" s="434"/>
      <c r="AG7" s="434"/>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row>
    <row r="8" spans="1:158" s="432" customFormat="1" ht="25.9" customHeight="1" x14ac:dyDescent="0.25">
      <c r="A8" s="857" t="s">
        <v>821</v>
      </c>
      <c r="B8" s="857"/>
      <c r="C8" s="857"/>
      <c r="D8" s="857"/>
      <c r="E8" s="857"/>
      <c r="F8" s="857"/>
      <c r="G8" s="857"/>
      <c r="H8" s="857"/>
      <c r="I8" s="857"/>
      <c r="J8" s="857"/>
      <c r="K8" s="857"/>
      <c r="L8" s="857"/>
      <c r="M8" s="857"/>
      <c r="N8" s="857"/>
      <c r="O8" s="857"/>
      <c r="P8" s="857"/>
      <c r="Q8" s="857"/>
      <c r="R8" s="857"/>
      <c r="S8" s="857"/>
      <c r="T8" s="857"/>
      <c r="U8" s="857"/>
      <c r="V8" s="857"/>
      <c r="W8" s="188"/>
      <c r="X8" s="188"/>
      <c r="Y8" s="188"/>
      <c r="Z8" s="188"/>
      <c r="AA8" s="188"/>
      <c r="AC8" s="433"/>
      <c r="AD8" s="434"/>
      <c r="AE8" s="434"/>
      <c r="AF8" s="434"/>
      <c r="AG8" s="434"/>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row>
    <row r="9" spans="1:158" s="432" customFormat="1" ht="15.6" customHeight="1" x14ac:dyDescent="0.25">
      <c r="A9" s="857"/>
      <c r="B9" s="2144" t="s">
        <v>841</v>
      </c>
      <c r="C9" s="2144"/>
      <c r="D9" s="2144"/>
      <c r="E9" s="2144"/>
      <c r="F9" s="2144"/>
      <c r="G9" s="2144"/>
      <c r="H9" s="2144"/>
      <c r="I9" s="2144"/>
      <c r="J9" s="2144"/>
      <c r="K9" s="2144"/>
      <c r="L9" s="2144"/>
      <c r="M9" s="2144"/>
      <c r="N9" s="2144"/>
      <c r="O9" s="2144"/>
      <c r="P9" s="2144"/>
      <c r="Q9" s="2144"/>
      <c r="R9" s="2144"/>
      <c r="S9" s="2144"/>
      <c r="T9" s="2144"/>
      <c r="U9" s="2144"/>
      <c r="V9" s="2144"/>
      <c r="W9" s="2144"/>
      <c r="X9" s="2144"/>
      <c r="Y9" s="2144"/>
      <c r="Z9" s="2144"/>
      <c r="AA9" s="2144"/>
      <c r="AB9" s="2144"/>
      <c r="AC9" s="433"/>
      <c r="AD9" s="434"/>
      <c r="AE9" s="434"/>
      <c r="AF9" s="434"/>
      <c r="AG9" s="434"/>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row>
    <row r="10" spans="1:158" s="432" customFormat="1" ht="18.600000000000001" customHeight="1" x14ac:dyDescent="0.25">
      <c r="B10" s="823">
        <v>1</v>
      </c>
      <c r="C10" s="866" t="s">
        <v>832</v>
      </c>
      <c r="V10" s="436"/>
      <c r="W10" s="438"/>
      <c r="X10" s="438"/>
      <c r="Y10" s="438"/>
      <c r="Z10" s="438"/>
      <c r="AC10" s="433"/>
      <c r="AD10" s="434"/>
      <c r="AE10" s="434"/>
      <c r="AF10" s="434"/>
      <c r="AG10" s="434"/>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row>
    <row r="11" spans="1:158" s="129" customFormat="1" ht="18.600000000000001" customHeight="1" thickBot="1" x14ac:dyDescent="0.3">
      <c r="A11" s="432"/>
      <c r="B11" s="823">
        <v>1</v>
      </c>
      <c r="C11" s="866" t="s">
        <v>822</v>
      </c>
      <c r="D11" s="432"/>
      <c r="E11" s="432"/>
      <c r="F11" s="432"/>
      <c r="G11" s="432"/>
      <c r="H11" s="432"/>
      <c r="I11" s="432"/>
      <c r="J11" s="432"/>
      <c r="K11" s="432"/>
      <c r="L11" s="432"/>
      <c r="M11" s="432"/>
      <c r="N11" s="432"/>
      <c r="O11" s="432"/>
      <c r="P11" s="432"/>
      <c r="Q11" s="432"/>
      <c r="R11" s="432"/>
      <c r="S11" s="432"/>
      <c r="T11" s="432"/>
      <c r="U11" s="432"/>
      <c r="V11" s="436"/>
      <c r="W11" s="438"/>
      <c r="X11" s="438"/>
      <c r="Y11" s="438"/>
      <c r="Z11" s="438"/>
      <c r="AA11" s="432"/>
      <c r="AB11" s="188"/>
      <c r="AC11" s="366"/>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t="str">
        <f>TEXT(LoanTotalAmount,"$0,000")</f>
        <v>$0,000</v>
      </c>
      <c r="BG11" s="431"/>
      <c r="BH11" s="431"/>
      <c r="BI11" s="94"/>
      <c r="BJ11" s="322"/>
      <c r="BK11" s="323" t="s">
        <v>104</v>
      </c>
      <c r="BL11" s="322"/>
      <c r="BM11" s="322"/>
      <c r="BN11" s="322"/>
      <c r="BO11" s="322"/>
      <c r="BP11" s="322"/>
      <c r="BQ11" s="93"/>
      <c r="BR11" s="93"/>
      <c r="BS11" s="93"/>
      <c r="BT11" s="93"/>
      <c r="BU11" s="93"/>
      <c r="BV11" s="93"/>
      <c r="BW11" s="93"/>
      <c r="BX11" s="93"/>
      <c r="BY11" s="93"/>
      <c r="BZ11" s="93"/>
      <c r="CA11" s="93"/>
      <c r="CB11" s="93"/>
      <c r="CC11" s="93"/>
      <c r="CD11" s="93"/>
      <c r="CE11" s="93"/>
      <c r="CF11" s="93"/>
      <c r="CG11" s="93"/>
      <c r="CH11" s="93"/>
      <c r="CI11" s="93"/>
    </row>
    <row r="12" spans="1:158" s="432" customFormat="1" ht="18.600000000000001" customHeight="1" x14ac:dyDescent="0.25">
      <c r="B12" s="823">
        <v>1</v>
      </c>
      <c r="C12" s="866" t="s">
        <v>823</v>
      </c>
      <c r="V12" s="436"/>
      <c r="W12" s="438"/>
      <c r="X12" s="438"/>
      <c r="Y12" s="438"/>
      <c r="Z12" s="438"/>
      <c r="AC12" s="433"/>
      <c r="AD12" s="434"/>
      <c r="AE12" s="434"/>
      <c r="AF12" s="434"/>
      <c r="AG12" s="434"/>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row>
    <row r="13" spans="1:158" s="432" customFormat="1" ht="18.600000000000001" customHeight="1" x14ac:dyDescent="0.25">
      <c r="B13" s="823"/>
      <c r="C13" s="866" t="s">
        <v>824</v>
      </c>
      <c r="V13" s="436"/>
      <c r="W13" s="438"/>
      <c r="X13" s="438"/>
      <c r="Y13" s="438"/>
      <c r="Z13" s="438"/>
      <c r="AC13" s="433"/>
      <c r="AD13" s="434"/>
      <c r="AE13" s="434"/>
      <c r="AF13" s="434"/>
      <c r="AG13" s="434"/>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row>
    <row r="14" spans="1:158" s="432" customFormat="1" ht="18.600000000000001" customHeight="1" x14ac:dyDescent="0.25">
      <c r="B14" s="823">
        <v>1</v>
      </c>
      <c r="C14" s="866" t="s">
        <v>825</v>
      </c>
      <c r="D14" s="858"/>
      <c r="E14" s="858"/>
      <c r="F14" s="858"/>
      <c r="G14" s="858"/>
      <c r="H14" s="858"/>
      <c r="I14" s="858"/>
      <c r="J14" s="858"/>
      <c r="K14" s="858"/>
      <c r="L14" s="858"/>
      <c r="M14" s="858"/>
      <c r="N14" s="858"/>
      <c r="O14" s="858"/>
      <c r="P14" s="858"/>
      <c r="Q14" s="858"/>
      <c r="R14" s="858"/>
      <c r="S14" s="858"/>
      <c r="T14" s="858"/>
      <c r="U14" s="858"/>
      <c r="V14" s="859"/>
      <c r="W14" s="437"/>
      <c r="X14" s="437"/>
      <c r="Y14" s="437"/>
      <c r="Z14" s="437"/>
      <c r="AC14" s="433"/>
      <c r="AD14" s="434"/>
      <c r="AE14" s="434"/>
      <c r="AF14" s="434"/>
      <c r="AG14" s="434"/>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row>
    <row r="15" spans="1:158" s="432" customFormat="1" ht="18.600000000000001" customHeight="1" x14ac:dyDescent="0.25">
      <c r="B15" s="823">
        <v>1</v>
      </c>
      <c r="C15" s="866" t="s">
        <v>826</v>
      </c>
      <c r="D15" s="858"/>
      <c r="E15" s="858"/>
      <c r="F15" s="858"/>
      <c r="G15" s="858"/>
      <c r="H15" s="858"/>
      <c r="I15" s="858"/>
      <c r="J15" s="858"/>
      <c r="K15" s="858"/>
      <c r="L15" s="858"/>
      <c r="M15" s="858"/>
      <c r="N15" s="858"/>
      <c r="O15" s="858"/>
      <c r="P15" s="858"/>
      <c r="Q15" s="858"/>
      <c r="R15" s="858"/>
      <c r="S15" s="858"/>
      <c r="T15" s="858"/>
      <c r="U15" s="858"/>
      <c r="V15" s="859"/>
      <c r="W15" s="437"/>
      <c r="X15" s="437"/>
      <c r="Y15" s="437"/>
      <c r="Z15" s="437"/>
      <c r="AC15" s="433"/>
      <c r="AD15" s="434"/>
      <c r="AE15" s="434"/>
      <c r="AF15" s="434"/>
      <c r="AG15" s="434"/>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row>
    <row r="16" spans="1:158" s="432" customFormat="1" ht="18.399999999999999" customHeight="1" x14ac:dyDescent="0.25">
      <c r="B16" s="823">
        <v>1</v>
      </c>
      <c r="C16" s="866" t="s">
        <v>844</v>
      </c>
      <c r="D16" s="858"/>
      <c r="E16" s="858"/>
      <c r="F16" s="858"/>
      <c r="G16" s="858"/>
      <c r="H16" s="858"/>
      <c r="I16" s="858"/>
      <c r="J16" s="858"/>
      <c r="K16" s="858"/>
      <c r="L16" s="858"/>
      <c r="M16" s="858"/>
      <c r="N16" s="858"/>
      <c r="O16" s="858"/>
      <c r="P16" s="858"/>
      <c r="Q16" s="858"/>
      <c r="R16" s="858"/>
      <c r="S16" s="858"/>
      <c r="T16" s="858"/>
      <c r="U16" s="858"/>
      <c r="V16" s="859"/>
      <c r="W16" s="437"/>
      <c r="X16" s="437"/>
      <c r="Y16" s="437"/>
      <c r="Z16" s="437"/>
      <c r="AC16" s="433"/>
      <c r="AD16" s="434"/>
      <c r="AE16" s="434"/>
      <c r="AF16" s="434"/>
      <c r="AG16" s="434"/>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row>
    <row r="17" spans="1:158" s="432" customFormat="1" ht="18.600000000000001" customHeight="1" x14ac:dyDescent="0.25">
      <c r="AC17" s="433"/>
      <c r="AD17" s="434"/>
      <c r="AE17" s="434"/>
      <c r="AF17" s="434"/>
      <c r="AG17" s="434"/>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c r="CF17" s="435"/>
      <c r="CG17" s="435"/>
      <c r="CH17" s="435"/>
      <c r="CI17" s="435"/>
      <c r="CJ17" s="434"/>
      <c r="CK17" s="434"/>
      <c r="CL17" s="434"/>
      <c r="CM17" s="434"/>
      <c r="CN17" s="434"/>
      <c r="CO17" s="434"/>
      <c r="CP17" s="434"/>
      <c r="CQ17" s="434"/>
      <c r="CR17" s="434"/>
      <c r="CS17" s="434"/>
      <c r="CT17" s="434"/>
      <c r="CU17" s="434"/>
      <c r="CV17" s="434"/>
      <c r="CW17" s="434"/>
      <c r="CX17" s="434"/>
      <c r="CY17" s="434"/>
      <c r="CZ17" s="434"/>
      <c r="DA17" s="434"/>
      <c r="DB17" s="434"/>
      <c r="DC17" s="434"/>
      <c r="DD17" s="434"/>
      <c r="DE17" s="434"/>
      <c r="DF17" s="434"/>
      <c r="DG17" s="434"/>
      <c r="DH17" s="434"/>
      <c r="DI17" s="434"/>
      <c r="DJ17" s="434"/>
      <c r="DK17" s="434"/>
      <c r="DL17" s="434"/>
      <c r="DM17" s="434"/>
      <c r="DN17" s="434"/>
      <c r="DO17" s="434"/>
      <c r="DP17" s="434"/>
      <c r="DQ17" s="434"/>
      <c r="DR17" s="434"/>
      <c r="DS17" s="434"/>
      <c r="DT17" s="434"/>
      <c r="DU17" s="434"/>
      <c r="DV17" s="434"/>
      <c r="DW17" s="434"/>
      <c r="DX17" s="434"/>
      <c r="DY17" s="434"/>
      <c r="DZ17" s="434"/>
      <c r="EA17" s="434"/>
      <c r="EB17" s="434"/>
      <c r="EC17" s="434"/>
      <c r="ED17" s="434"/>
      <c r="EE17" s="434"/>
      <c r="EF17" s="434"/>
      <c r="EG17" s="434"/>
      <c r="EH17" s="434"/>
      <c r="EI17" s="434"/>
      <c r="EJ17" s="434"/>
      <c r="EK17" s="434"/>
      <c r="EL17" s="434"/>
      <c r="EM17" s="434"/>
      <c r="EN17" s="434"/>
      <c r="EO17" s="434"/>
      <c r="EP17" s="434"/>
      <c r="EQ17" s="434"/>
      <c r="ER17" s="434"/>
      <c r="ES17" s="434"/>
      <c r="ET17" s="434"/>
      <c r="EU17" s="434"/>
      <c r="EV17" s="434"/>
      <c r="EW17" s="434"/>
      <c r="EX17" s="434"/>
      <c r="EY17" s="434"/>
      <c r="EZ17" s="434"/>
      <c r="FA17" s="434"/>
      <c r="FB17" s="434"/>
    </row>
    <row r="18" spans="1:158" s="432" customFormat="1" ht="31.5" x14ac:dyDescent="0.25">
      <c r="A18" s="857" t="s">
        <v>623</v>
      </c>
      <c r="B18" s="857"/>
      <c r="C18" s="857"/>
      <c r="D18" s="857"/>
      <c r="E18" s="857"/>
      <c r="F18" s="857"/>
      <c r="G18" s="857"/>
      <c r="H18" s="857"/>
      <c r="I18" s="857"/>
      <c r="J18" s="857"/>
      <c r="K18" s="857"/>
      <c r="L18" s="857"/>
      <c r="M18" s="857"/>
      <c r="N18" s="857"/>
      <c r="O18" s="857"/>
      <c r="P18" s="857"/>
      <c r="Q18" s="857"/>
      <c r="R18" s="857"/>
      <c r="S18" s="857"/>
      <c r="T18" s="857"/>
      <c r="U18" s="857"/>
      <c r="V18" s="857"/>
      <c r="W18" s="188"/>
      <c r="X18" s="188"/>
      <c r="Y18" s="188"/>
      <c r="Z18" s="188"/>
      <c r="AA18" s="188"/>
      <c r="AC18" s="433"/>
      <c r="AD18" s="434"/>
      <c r="AE18" s="434"/>
      <c r="AF18" s="434"/>
      <c r="AG18" s="434"/>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c r="CF18" s="435"/>
      <c r="CG18" s="435"/>
      <c r="CH18" s="435"/>
      <c r="CI18" s="435"/>
      <c r="CJ18" s="434"/>
      <c r="CK18" s="434"/>
      <c r="CL18" s="434"/>
      <c r="CM18" s="434"/>
      <c r="CN18" s="434"/>
      <c r="CO18" s="434"/>
      <c r="CP18" s="434"/>
      <c r="CQ18" s="434"/>
      <c r="CR18" s="434"/>
      <c r="CS18" s="434"/>
      <c r="CT18" s="434"/>
      <c r="CU18" s="434"/>
      <c r="CV18" s="434"/>
      <c r="CW18" s="434"/>
      <c r="CX18" s="434"/>
      <c r="CY18" s="434"/>
      <c r="CZ18" s="434"/>
      <c r="DA18" s="434"/>
      <c r="DB18" s="434"/>
      <c r="DC18" s="434"/>
      <c r="DD18" s="434"/>
      <c r="DE18" s="434"/>
      <c r="DF18" s="434"/>
      <c r="DG18" s="434"/>
      <c r="DH18" s="434"/>
      <c r="DI18" s="434"/>
      <c r="DJ18" s="434"/>
      <c r="DK18" s="434"/>
      <c r="DL18" s="434"/>
      <c r="DM18" s="434"/>
      <c r="DN18" s="434"/>
      <c r="DO18" s="434"/>
      <c r="DP18" s="434"/>
      <c r="DQ18" s="434"/>
      <c r="DR18" s="434"/>
      <c r="DS18" s="434"/>
      <c r="DT18" s="434"/>
      <c r="DU18" s="434"/>
      <c r="DV18" s="434"/>
      <c r="DW18" s="434"/>
      <c r="DX18" s="434"/>
      <c r="DY18" s="434"/>
      <c r="DZ18" s="434"/>
      <c r="EA18" s="434"/>
      <c r="EB18" s="434"/>
      <c r="EC18" s="434"/>
      <c r="ED18" s="434"/>
      <c r="EE18" s="434"/>
      <c r="EF18" s="434"/>
      <c r="EG18" s="434"/>
      <c r="EH18" s="434"/>
      <c r="EI18" s="434"/>
      <c r="EJ18" s="434"/>
      <c r="EK18" s="434"/>
      <c r="EL18" s="434"/>
      <c r="EM18" s="434"/>
      <c r="EN18" s="434"/>
      <c r="EO18" s="434"/>
      <c r="EP18" s="434"/>
      <c r="EQ18" s="434"/>
      <c r="ER18" s="434"/>
      <c r="ES18" s="434"/>
      <c r="ET18" s="434"/>
      <c r="EU18" s="434"/>
      <c r="EV18" s="434"/>
      <c r="EW18" s="434"/>
      <c r="EX18" s="434"/>
      <c r="EY18" s="434"/>
      <c r="EZ18" s="434"/>
      <c r="FA18" s="434"/>
      <c r="FB18" s="434"/>
    </row>
    <row r="19" spans="1:158" s="432" customFormat="1" ht="15.6" customHeight="1" x14ac:dyDescent="0.25">
      <c r="B19" s="2144" t="s">
        <v>842</v>
      </c>
      <c r="C19" s="2144"/>
      <c r="D19" s="2144"/>
      <c r="E19" s="2144"/>
      <c r="F19" s="2144"/>
      <c r="G19" s="2144"/>
      <c r="H19" s="2144"/>
      <c r="I19" s="2144"/>
      <c r="J19" s="2144"/>
      <c r="K19" s="2144"/>
      <c r="L19" s="2144"/>
      <c r="M19" s="2144"/>
      <c r="N19" s="2144"/>
      <c r="O19" s="2144"/>
      <c r="P19" s="2144"/>
      <c r="Q19" s="2144"/>
      <c r="R19" s="2144"/>
      <c r="S19" s="2144"/>
      <c r="T19" s="2144"/>
      <c r="U19" s="2144"/>
      <c r="V19" s="2144"/>
      <c r="W19" s="2144"/>
      <c r="X19" s="2144"/>
      <c r="Y19" s="2144"/>
      <c r="Z19" s="2144"/>
      <c r="AA19" s="2144"/>
      <c r="AB19" s="2144"/>
      <c r="AC19" s="433"/>
      <c r="AD19" s="434"/>
      <c r="AE19" s="434"/>
      <c r="AF19" s="434"/>
      <c r="AG19" s="434"/>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4"/>
      <c r="CK19" s="434"/>
      <c r="CL19" s="434"/>
      <c r="CM19" s="434"/>
      <c r="CN19" s="434"/>
      <c r="CO19" s="434"/>
      <c r="CP19" s="434"/>
      <c r="CQ19" s="434"/>
      <c r="CR19" s="434"/>
      <c r="CS19" s="434"/>
      <c r="CT19" s="434"/>
      <c r="CU19" s="434"/>
      <c r="CV19" s="434"/>
      <c r="CW19" s="434"/>
      <c r="CX19" s="434"/>
      <c r="CY19" s="434"/>
      <c r="CZ19" s="434"/>
      <c r="DA19" s="434"/>
      <c r="DB19" s="434"/>
      <c r="DC19" s="434"/>
      <c r="DD19" s="434"/>
      <c r="DE19" s="434"/>
      <c r="DF19" s="434"/>
      <c r="DG19" s="434"/>
      <c r="DH19" s="434"/>
      <c r="DI19" s="434"/>
      <c r="DJ19" s="434"/>
      <c r="DK19" s="434"/>
      <c r="DL19" s="434"/>
      <c r="DM19" s="434"/>
      <c r="DN19" s="434"/>
      <c r="DO19" s="434"/>
      <c r="DP19" s="434"/>
      <c r="DQ19" s="434"/>
      <c r="DR19" s="434"/>
      <c r="DS19" s="434"/>
      <c r="DT19" s="434"/>
      <c r="DU19" s="434"/>
      <c r="DV19" s="434"/>
      <c r="DW19" s="434"/>
      <c r="DX19" s="434"/>
      <c r="DY19" s="434"/>
      <c r="DZ19" s="434"/>
      <c r="EA19" s="434"/>
      <c r="EB19" s="434"/>
      <c r="EC19" s="434"/>
      <c r="ED19" s="434"/>
      <c r="EE19" s="434"/>
      <c r="EF19" s="434"/>
      <c r="EG19" s="434"/>
      <c r="EH19" s="434"/>
      <c r="EI19" s="434"/>
      <c r="EJ19" s="434"/>
      <c r="EK19" s="434"/>
      <c r="EL19" s="434"/>
      <c r="EM19" s="434"/>
      <c r="EN19" s="434"/>
      <c r="EO19" s="434"/>
      <c r="EP19" s="434"/>
      <c r="EQ19" s="434"/>
      <c r="ER19" s="434"/>
      <c r="ES19" s="434"/>
      <c r="ET19" s="434"/>
      <c r="EU19" s="434"/>
      <c r="EV19" s="434"/>
      <c r="EW19" s="434"/>
      <c r="EX19" s="434"/>
      <c r="EY19" s="434"/>
      <c r="EZ19" s="434"/>
      <c r="FA19" s="434"/>
      <c r="FB19" s="434"/>
    </row>
    <row r="20" spans="1:158" s="129" customFormat="1" ht="18.600000000000001" customHeight="1" thickBot="1" x14ac:dyDescent="0.3">
      <c r="A20" s="432"/>
      <c r="B20" s="823">
        <v>1</v>
      </c>
      <c r="C20" s="866" t="s">
        <v>827</v>
      </c>
      <c r="D20" s="432"/>
      <c r="E20" s="432"/>
      <c r="F20" s="432"/>
      <c r="G20" s="432"/>
      <c r="H20" s="432"/>
      <c r="I20" s="432"/>
      <c r="J20" s="432"/>
      <c r="K20" s="432"/>
      <c r="L20" s="432"/>
      <c r="M20" s="432"/>
      <c r="N20" s="432"/>
      <c r="O20" s="432"/>
      <c r="P20" s="68" t="s">
        <v>828</v>
      </c>
      <c r="Q20" s="2151">
        <f>Funding!G11*0.2</f>
        <v>0</v>
      </c>
      <c r="R20" s="2151"/>
      <c r="S20" s="2151"/>
      <c r="T20" s="432"/>
      <c r="U20" s="432"/>
      <c r="V20" s="436"/>
      <c r="W20" s="438"/>
      <c r="X20" s="438"/>
      <c r="Y20" s="438"/>
      <c r="Z20" s="438"/>
      <c r="AA20" s="432"/>
      <c r="AB20" s="188"/>
      <c r="AC20" s="366"/>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t="str">
        <f>TEXT(LoanTotalAmount,"$0,000")</f>
        <v>$0,000</v>
      </c>
      <c r="BG20" s="431"/>
      <c r="BH20" s="431"/>
      <c r="BI20" s="94"/>
      <c r="BJ20" s="322"/>
      <c r="BK20" s="323" t="s">
        <v>104</v>
      </c>
      <c r="BL20" s="322"/>
      <c r="BM20" s="322"/>
      <c r="BN20" s="322"/>
      <c r="BO20" s="322"/>
      <c r="BP20" s="322"/>
      <c r="BQ20" s="93"/>
      <c r="BR20" s="93"/>
      <c r="BS20" s="93"/>
      <c r="BT20" s="93"/>
      <c r="BU20" s="93"/>
      <c r="BV20" s="93"/>
      <c r="BW20" s="93"/>
      <c r="BX20" s="93"/>
      <c r="BY20" s="93"/>
      <c r="BZ20" s="93"/>
      <c r="CA20" s="93"/>
      <c r="CB20" s="93"/>
      <c r="CC20" s="93"/>
      <c r="CD20" s="93"/>
      <c r="CE20" s="93"/>
      <c r="CF20" s="93"/>
      <c r="CG20" s="93"/>
      <c r="CH20" s="93"/>
      <c r="CI20" s="93"/>
    </row>
    <row r="21" spans="1:158" s="432" customFormat="1" ht="18.600000000000001" customHeight="1" x14ac:dyDescent="0.25">
      <c r="B21" s="823">
        <v>1</v>
      </c>
      <c r="C21" s="866" t="s">
        <v>829</v>
      </c>
      <c r="P21" s="68" t="s">
        <v>828</v>
      </c>
      <c r="Q21" s="2151" t="str">
        <f>Funding!G17</f>
        <v/>
      </c>
      <c r="R21" s="2151"/>
      <c r="S21" s="2151"/>
      <c r="V21" s="436"/>
      <c r="W21" s="438"/>
      <c r="X21" s="438"/>
      <c r="Y21" s="438"/>
      <c r="Z21" s="438"/>
      <c r="AC21" s="433"/>
      <c r="AD21" s="434"/>
      <c r="AE21" s="434"/>
      <c r="AF21" s="434"/>
      <c r="AG21" s="434"/>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c r="CF21" s="435"/>
      <c r="CG21" s="435"/>
      <c r="CH21" s="435"/>
      <c r="CI21" s="435"/>
      <c r="CJ21" s="434"/>
      <c r="CK21" s="434"/>
      <c r="CL21" s="434"/>
      <c r="CM21" s="434"/>
      <c r="CN21" s="434"/>
      <c r="CO21" s="434"/>
      <c r="CP21" s="434"/>
      <c r="CQ21" s="434"/>
      <c r="CR21" s="434"/>
      <c r="CS21" s="434"/>
      <c r="CT21" s="434"/>
      <c r="CU21" s="434"/>
      <c r="CV21" s="434"/>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434"/>
      <c r="DT21" s="434"/>
      <c r="DU21" s="434"/>
      <c r="DV21" s="434"/>
      <c r="DW21" s="434"/>
      <c r="DX21" s="434"/>
      <c r="DY21" s="434"/>
      <c r="DZ21" s="434"/>
      <c r="EA21" s="434"/>
      <c r="EB21" s="434"/>
      <c r="EC21" s="434"/>
      <c r="ED21" s="434"/>
      <c r="EE21" s="434"/>
      <c r="EF21" s="434"/>
      <c r="EG21" s="434"/>
      <c r="EH21" s="434"/>
      <c r="EI21" s="434"/>
      <c r="EJ21" s="434"/>
      <c r="EK21" s="434"/>
      <c r="EL21" s="434"/>
      <c r="EM21" s="434"/>
      <c r="EN21" s="434"/>
      <c r="EO21" s="434"/>
      <c r="EP21" s="434"/>
      <c r="EQ21" s="434"/>
      <c r="ER21" s="434"/>
      <c r="ES21" s="434"/>
      <c r="ET21" s="434"/>
      <c r="EU21" s="434"/>
      <c r="EV21" s="434"/>
      <c r="EW21" s="434"/>
      <c r="EX21" s="434"/>
      <c r="EY21" s="434"/>
      <c r="EZ21" s="434"/>
      <c r="FA21" s="434"/>
      <c r="FB21" s="434"/>
    </row>
    <row r="22" spans="1:158" s="432" customFormat="1" ht="18.600000000000001" customHeight="1" x14ac:dyDescent="0.25">
      <c r="B22" s="823">
        <v>1</v>
      </c>
      <c r="C22" s="866" t="s">
        <v>830</v>
      </c>
      <c r="P22" s="68" t="s">
        <v>828</v>
      </c>
      <c r="Q22" s="2151">
        <f>SUM(Funding!G18:I24)</f>
        <v>2050</v>
      </c>
      <c r="R22" s="2151"/>
      <c r="S22" s="2151"/>
      <c r="V22" s="436"/>
      <c r="W22" s="438"/>
      <c r="X22" s="438"/>
      <c r="Y22" s="438"/>
      <c r="Z22" s="438"/>
      <c r="AC22" s="433"/>
      <c r="AD22" s="434"/>
      <c r="AE22" s="434"/>
      <c r="AF22" s="434"/>
      <c r="AG22" s="434"/>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434"/>
      <c r="EB22" s="434"/>
      <c r="EC22" s="434"/>
      <c r="ED22" s="434"/>
      <c r="EE22" s="434"/>
      <c r="EF22" s="434"/>
      <c r="EG22" s="434"/>
      <c r="EH22" s="434"/>
      <c r="EI22" s="434"/>
      <c r="EJ22" s="434"/>
      <c r="EK22" s="434"/>
      <c r="EL22" s="434"/>
      <c r="EM22" s="434"/>
      <c r="EN22" s="434"/>
      <c r="EO22" s="434"/>
      <c r="EP22" s="434"/>
      <c r="EQ22" s="434"/>
      <c r="ER22" s="434"/>
      <c r="ES22" s="434"/>
      <c r="ET22" s="434"/>
      <c r="EU22" s="434"/>
      <c r="EV22" s="434"/>
      <c r="EW22" s="434"/>
      <c r="EX22" s="434"/>
      <c r="EY22" s="434"/>
      <c r="EZ22" s="434"/>
      <c r="FA22" s="434"/>
      <c r="FB22" s="434"/>
    </row>
    <row r="23" spans="1:158" s="432" customFormat="1" ht="18.600000000000001" customHeight="1" x14ac:dyDescent="0.25">
      <c r="B23" s="2144" t="s">
        <v>625</v>
      </c>
      <c r="C23" s="2144"/>
      <c r="D23" s="2144"/>
      <c r="E23" s="2144"/>
      <c r="F23" s="2144"/>
      <c r="G23" s="2144"/>
      <c r="H23" s="2144"/>
      <c r="I23" s="2144"/>
      <c r="J23" s="2144"/>
      <c r="K23" s="2144"/>
      <c r="L23" s="2144"/>
      <c r="M23" s="2144"/>
      <c r="N23" s="2144"/>
      <c r="O23" s="2144"/>
      <c r="P23" s="2144"/>
      <c r="Q23" s="2144"/>
      <c r="R23" s="2144"/>
      <c r="S23" s="2144"/>
      <c r="T23" s="2144"/>
      <c r="U23" s="2144"/>
      <c r="V23" s="2144"/>
      <c r="W23" s="2144"/>
      <c r="X23" s="2144"/>
      <c r="Y23" s="2144"/>
      <c r="Z23" s="2144"/>
      <c r="AA23" s="2144"/>
      <c r="AB23" s="2144"/>
      <c r="AC23" s="433"/>
      <c r="AD23" s="434"/>
      <c r="AE23" s="434"/>
      <c r="AF23" s="434"/>
      <c r="AG23" s="434"/>
      <c r="AH23" s="435"/>
      <c r="AI23" s="435"/>
      <c r="AJ23" s="435"/>
      <c r="AK23" s="435"/>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c r="CB23" s="435"/>
      <c r="CC23" s="435"/>
      <c r="CD23" s="435"/>
      <c r="CE23" s="435"/>
      <c r="CF23" s="435"/>
      <c r="CG23" s="435"/>
      <c r="CH23" s="435"/>
      <c r="CI23" s="435"/>
      <c r="CJ23" s="434"/>
      <c r="CK23" s="434"/>
      <c r="CL23" s="434"/>
      <c r="CM23" s="434"/>
      <c r="CN23" s="434"/>
      <c r="CO23" s="434"/>
      <c r="CP23" s="434"/>
      <c r="CQ23" s="434"/>
      <c r="CR23" s="434"/>
      <c r="CS23" s="434"/>
      <c r="CT23" s="434"/>
      <c r="CU23" s="434"/>
      <c r="CV23" s="434"/>
      <c r="CW23" s="434"/>
      <c r="CX23" s="434"/>
      <c r="CY23" s="434"/>
      <c r="CZ23" s="434"/>
      <c r="DA23" s="434"/>
      <c r="DB23" s="434"/>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c r="EA23" s="434"/>
      <c r="EB23" s="434"/>
      <c r="EC23" s="434"/>
      <c r="ED23" s="434"/>
      <c r="EE23" s="434"/>
      <c r="EF23" s="434"/>
      <c r="EG23" s="434"/>
      <c r="EH23" s="434"/>
      <c r="EI23" s="434"/>
      <c r="EJ23" s="434"/>
      <c r="EK23" s="434"/>
      <c r="EL23" s="434"/>
      <c r="EM23" s="434"/>
      <c r="EN23" s="434"/>
      <c r="EO23" s="434"/>
      <c r="EP23" s="434"/>
      <c r="EQ23" s="434"/>
      <c r="ER23" s="434"/>
      <c r="ES23" s="434"/>
      <c r="ET23" s="434"/>
      <c r="EU23" s="434"/>
      <c r="EV23" s="434"/>
      <c r="EW23" s="434"/>
      <c r="EX23" s="434"/>
      <c r="EY23" s="434"/>
      <c r="EZ23" s="434"/>
      <c r="FA23" s="434"/>
      <c r="FB23" s="434"/>
    </row>
    <row r="24" spans="1:158" s="432" customFormat="1" ht="18.600000000000001" customHeight="1" x14ac:dyDescent="0.25">
      <c r="B24" s="823"/>
      <c r="C24" s="866" t="s">
        <v>839</v>
      </c>
      <c r="P24" s="68" t="s">
        <v>828</v>
      </c>
      <c r="Q24" s="2151">
        <f>Funding!G25</f>
        <v>0</v>
      </c>
      <c r="R24" s="2151"/>
      <c r="S24" s="2151"/>
      <c r="AC24" s="433"/>
      <c r="AD24" s="434"/>
      <c r="AE24" s="434"/>
      <c r="AF24" s="434"/>
      <c r="AG24" s="434"/>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4"/>
      <c r="CK24" s="434"/>
      <c r="CL24" s="434"/>
      <c r="CM24" s="434"/>
      <c r="CN24" s="434"/>
      <c r="CO24" s="434"/>
      <c r="CP24" s="434"/>
      <c r="CQ24" s="434"/>
      <c r="CR24" s="434"/>
      <c r="CS24" s="434"/>
      <c r="CT24" s="434"/>
      <c r="CU24" s="434"/>
      <c r="CV24" s="434"/>
      <c r="CW24" s="434"/>
      <c r="CX24" s="434"/>
      <c r="CY24" s="434"/>
      <c r="CZ24" s="434"/>
      <c r="DA24" s="434"/>
      <c r="DB24" s="434"/>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c r="EA24" s="434"/>
      <c r="EB24" s="434"/>
      <c r="EC24" s="434"/>
      <c r="ED24" s="434"/>
      <c r="EE24" s="434"/>
      <c r="EF24" s="434"/>
      <c r="EG24" s="434"/>
      <c r="EH24" s="434"/>
      <c r="EI24" s="434"/>
      <c r="EJ24" s="434"/>
      <c r="EK24" s="434"/>
      <c r="EL24" s="434"/>
      <c r="EM24" s="434"/>
      <c r="EN24" s="434"/>
      <c r="EO24" s="434"/>
      <c r="EP24" s="434"/>
      <c r="EQ24" s="434"/>
      <c r="ER24" s="434"/>
      <c r="ES24" s="434"/>
      <c r="ET24" s="434"/>
      <c r="EU24" s="434"/>
      <c r="EV24" s="434"/>
      <c r="EW24" s="434"/>
      <c r="EX24" s="434"/>
      <c r="EY24" s="434"/>
      <c r="EZ24" s="434"/>
      <c r="FA24" s="434"/>
      <c r="FB24" s="434"/>
    </row>
    <row r="25" spans="1:158" s="432" customFormat="1" ht="18.600000000000001" customHeight="1" x14ac:dyDescent="0.25">
      <c r="B25" s="823"/>
      <c r="C25" s="866" t="s">
        <v>840</v>
      </c>
      <c r="P25" s="863"/>
      <c r="Q25" s="863"/>
      <c r="R25" s="863"/>
      <c r="S25" s="863"/>
      <c r="AC25" s="433"/>
      <c r="AD25" s="434"/>
      <c r="AE25" s="434"/>
      <c r="AF25" s="434"/>
      <c r="AG25" s="434"/>
      <c r="AH25" s="435"/>
      <c r="AI25" s="435"/>
      <c r="AJ25" s="435"/>
      <c r="AK25" s="435"/>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c r="BK25" s="435"/>
      <c r="BL25" s="435"/>
      <c r="BM25" s="435"/>
      <c r="BN25" s="435"/>
      <c r="BO25" s="435"/>
      <c r="BP25" s="435"/>
      <c r="BQ25" s="435"/>
      <c r="BR25" s="435"/>
      <c r="BS25" s="435"/>
      <c r="BT25" s="435"/>
      <c r="BU25" s="435"/>
      <c r="BV25" s="435"/>
      <c r="BW25" s="435"/>
      <c r="BX25" s="435"/>
      <c r="BY25" s="435"/>
      <c r="BZ25" s="435"/>
      <c r="CA25" s="435"/>
      <c r="CB25" s="435"/>
      <c r="CC25" s="435"/>
      <c r="CD25" s="435"/>
      <c r="CE25" s="435"/>
      <c r="CF25" s="435"/>
      <c r="CG25" s="435"/>
      <c r="CH25" s="435"/>
      <c r="CI25" s="435"/>
      <c r="CJ25" s="434"/>
      <c r="CK25" s="434"/>
      <c r="CL25" s="434"/>
      <c r="CM25" s="434"/>
      <c r="CN25" s="434"/>
      <c r="CO25" s="434"/>
      <c r="CP25" s="434"/>
      <c r="CQ25" s="434"/>
      <c r="CR25" s="434"/>
      <c r="CS25" s="434"/>
      <c r="CT25" s="434"/>
      <c r="CU25" s="434"/>
      <c r="CV25" s="434"/>
      <c r="CW25" s="434"/>
      <c r="CX25" s="434"/>
      <c r="CY25" s="434"/>
      <c r="CZ25" s="434"/>
      <c r="DA25" s="434"/>
      <c r="DB25" s="434"/>
      <c r="DC25" s="434"/>
      <c r="DD25" s="434"/>
      <c r="DE25" s="434"/>
      <c r="DF25" s="434"/>
      <c r="DG25" s="434"/>
      <c r="DH25" s="434"/>
      <c r="DI25" s="434"/>
      <c r="DJ25" s="434"/>
      <c r="DK25" s="434"/>
      <c r="DL25" s="434"/>
      <c r="DM25" s="434"/>
      <c r="DN25" s="434"/>
      <c r="DO25" s="434"/>
      <c r="DP25" s="434"/>
      <c r="DQ25" s="434"/>
      <c r="DR25" s="434"/>
      <c r="DS25" s="434"/>
      <c r="DT25" s="434"/>
      <c r="DU25" s="434"/>
      <c r="DV25" s="434"/>
      <c r="DW25" s="434"/>
      <c r="DX25" s="434"/>
      <c r="DY25" s="434"/>
      <c r="DZ25" s="434"/>
      <c r="EA25" s="434"/>
      <c r="EB25" s="434"/>
      <c r="EC25" s="434"/>
      <c r="ED25" s="434"/>
      <c r="EE25" s="434"/>
      <c r="EF25" s="434"/>
      <c r="EG25" s="434"/>
      <c r="EH25" s="434"/>
      <c r="EI25" s="434"/>
      <c r="EJ25" s="434"/>
      <c r="EK25" s="434"/>
      <c r="EL25" s="434"/>
      <c r="EM25" s="434"/>
      <c r="EN25" s="434"/>
      <c r="EO25" s="434"/>
      <c r="EP25" s="434"/>
      <c r="EQ25" s="434"/>
      <c r="ER25" s="434"/>
      <c r="ES25" s="434"/>
      <c r="ET25" s="434"/>
      <c r="EU25" s="434"/>
      <c r="EV25" s="434"/>
      <c r="EW25" s="434"/>
      <c r="EX25" s="434"/>
      <c r="EY25" s="434"/>
      <c r="EZ25" s="434"/>
      <c r="FA25" s="434"/>
      <c r="FB25" s="434"/>
    </row>
    <row r="26" spans="1:158" s="432" customFormat="1" ht="18.600000000000001" customHeight="1" x14ac:dyDescent="0.25">
      <c r="P26" s="863"/>
      <c r="Q26" s="864"/>
      <c r="R26" s="863"/>
      <c r="S26" s="863"/>
      <c r="AC26" s="433"/>
      <c r="AD26" s="434"/>
      <c r="AE26" s="434"/>
      <c r="AF26" s="434"/>
      <c r="AG26" s="434"/>
      <c r="AH26" s="435"/>
      <c r="AI26" s="435"/>
      <c r="AJ26" s="435"/>
      <c r="AK26" s="435"/>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35"/>
      <c r="CC26" s="435"/>
      <c r="CD26" s="435"/>
      <c r="CE26" s="435"/>
      <c r="CF26" s="435"/>
      <c r="CG26" s="435"/>
      <c r="CH26" s="435"/>
      <c r="CI26" s="435"/>
      <c r="CJ26" s="434"/>
      <c r="CK26" s="434"/>
      <c r="CL26" s="434"/>
      <c r="CM26" s="434"/>
      <c r="CN26" s="434"/>
      <c r="CO26" s="434"/>
      <c r="CP26" s="434"/>
      <c r="CQ26" s="434"/>
      <c r="CR26" s="434"/>
      <c r="CS26" s="434"/>
      <c r="CT26" s="434"/>
      <c r="CU26" s="434"/>
      <c r="CV26" s="434"/>
      <c r="CW26" s="434"/>
      <c r="CX26" s="434"/>
      <c r="CY26" s="434"/>
      <c r="CZ26" s="434"/>
      <c r="DA26" s="434"/>
      <c r="DB26" s="434"/>
      <c r="DC26" s="434"/>
      <c r="DD26" s="434"/>
      <c r="DE26" s="434"/>
      <c r="DF26" s="434"/>
      <c r="DG26" s="434"/>
      <c r="DH26" s="434"/>
      <c r="DI26" s="434"/>
      <c r="DJ26" s="434"/>
      <c r="DK26" s="434"/>
      <c r="DL26" s="434"/>
      <c r="DM26" s="434"/>
      <c r="DN26" s="434"/>
      <c r="DO26" s="434"/>
      <c r="DP26" s="434"/>
      <c r="DQ26" s="434"/>
      <c r="DR26" s="434"/>
      <c r="DS26" s="434"/>
      <c r="DT26" s="434"/>
      <c r="DU26" s="434"/>
      <c r="DV26" s="434"/>
      <c r="DW26" s="434"/>
      <c r="DX26" s="434"/>
      <c r="DY26" s="434"/>
      <c r="DZ26" s="434"/>
      <c r="EA26" s="434"/>
      <c r="EB26" s="434"/>
      <c r="EC26" s="434"/>
      <c r="ED26" s="434"/>
      <c r="EE26" s="434"/>
      <c r="EF26" s="434"/>
      <c r="EG26" s="434"/>
      <c r="EH26" s="434"/>
      <c r="EI26" s="434"/>
      <c r="EJ26" s="434"/>
      <c r="EK26" s="434"/>
      <c r="EL26" s="434"/>
      <c r="EM26" s="434"/>
      <c r="EN26" s="434"/>
      <c r="EO26" s="434"/>
      <c r="EP26" s="434"/>
      <c r="EQ26" s="434"/>
      <c r="ER26" s="434"/>
      <c r="ES26" s="434"/>
      <c r="ET26" s="434"/>
      <c r="EU26" s="434"/>
      <c r="EV26" s="434"/>
      <c r="EW26" s="434"/>
      <c r="EX26" s="434"/>
      <c r="EY26" s="434"/>
      <c r="EZ26" s="434"/>
      <c r="FA26" s="434"/>
      <c r="FB26" s="434"/>
    </row>
    <row r="27" spans="1:158" ht="31.5" x14ac:dyDescent="0.25">
      <c r="A27" s="857" t="s">
        <v>624</v>
      </c>
      <c r="B27" s="857"/>
      <c r="C27" s="857"/>
      <c r="D27" s="857"/>
      <c r="E27" s="857"/>
      <c r="F27" s="857"/>
      <c r="G27" s="857"/>
      <c r="H27" s="857"/>
      <c r="I27" s="857"/>
      <c r="J27" s="857"/>
      <c r="K27" s="857"/>
      <c r="L27" s="857"/>
      <c r="M27" s="857"/>
      <c r="N27" s="857"/>
      <c r="O27" s="857"/>
      <c r="P27" s="865"/>
      <c r="Q27" s="865"/>
      <c r="R27" s="865"/>
      <c r="S27" s="865"/>
      <c r="T27" s="857"/>
      <c r="U27" s="857"/>
      <c r="V27" s="857"/>
      <c r="W27" s="188"/>
      <c r="X27" s="188"/>
      <c r="Y27" s="188"/>
      <c r="Z27" s="188"/>
      <c r="AA27" s="188"/>
    </row>
    <row r="28" spans="1:158" ht="15.6" customHeight="1" x14ac:dyDescent="0.25">
      <c r="A28" s="857"/>
      <c r="B28" s="2144" t="s">
        <v>843</v>
      </c>
      <c r="C28" s="2144"/>
      <c r="D28" s="2144"/>
      <c r="E28" s="2144"/>
      <c r="F28" s="2144"/>
      <c r="G28" s="2144"/>
      <c r="H28" s="2144"/>
      <c r="I28" s="2144"/>
      <c r="J28" s="2144"/>
      <c r="K28" s="2144"/>
      <c r="L28" s="2144"/>
      <c r="M28" s="2144"/>
      <c r="N28" s="2144"/>
      <c r="O28" s="2144"/>
      <c r="P28" s="2144"/>
      <c r="Q28" s="2144"/>
      <c r="R28" s="2144"/>
      <c r="S28" s="2144"/>
      <c r="T28" s="2144"/>
      <c r="U28" s="2144"/>
      <c r="V28" s="2144"/>
      <c r="W28" s="2144"/>
      <c r="X28" s="2144"/>
      <c r="Y28" s="2144"/>
      <c r="Z28" s="2144"/>
      <c r="AA28" s="2144"/>
      <c r="AB28" s="2144"/>
      <c r="AH28" s="856"/>
      <c r="AI28" s="856"/>
      <c r="AJ28" s="856"/>
      <c r="AK28" s="856"/>
      <c r="AL28" s="856"/>
      <c r="AM28" s="856"/>
      <c r="AN28" s="856"/>
      <c r="AO28" s="856"/>
      <c r="AP28" s="856"/>
      <c r="AQ28" s="856"/>
      <c r="AR28" s="856"/>
      <c r="AS28" s="856"/>
      <c r="AT28" s="856"/>
      <c r="AU28" s="856"/>
      <c r="AV28" s="856"/>
      <c r="AW28" s="856"/>
      <c r="AX28" s="856"/>
      <c r="AY28" s="856"/>
      <c r="AZ28" s="856"/>
      <c r="BA28" s="856"/>
      <c r="BB28" s="856"/>
      <c r="BC28" s="856"/>
      <c r="BD28" s="856"/>
      <c r="BE28" s="856"/>
      <c r="BF28" s="856"/>
      <c r="BG28" s="856"/>
      <c r="BH28" s="856"/>
    </row>
    <row r="29" spans="1:158" ht="18.600000000000001" customHeight="1" x14ac:dyDescent="0.25">
      <c r="A29" s="432"/>
      <c r="B29" s="823"/>
      <c r="C29" s="866" t="s">
        <v>833</v>
      </c>
      <c r="D29" s="432"/>
      <c r="E29" s="432"/>
      <c r="F29" s="432"/>
      <c r="G29" s="432"/>
      <c r="H29" s="432"/>
      <c r="I29" s="432"/>
      <c r="J29" s="432"/>
      <c r="K29" s="432"/>
      <c r="L29" s="432"/>
      <c r="M29" s="432"/>
      <c r="N29" s="432"/>
      <c r="O29" s="432"/>
      <c r="P29" s="68" t="s">
        <v>828</v>
      </c>
      <c r="Q29" s="2151" t="e">
        <f>SUM(#REF!)</f>
        <v>#REF!</v>
      </c>
      <c r="R29" s="2151"/>
      <c r="S29" s="2151"/>
      <c r="T29" s="432"/>
      <c r="U29" s="432"/>
      <c r="V29" s="432"/>
      <c r="W29" s="436"/>
      <c r="X29" s="438"/>
      <c r="Y29" s="438"/>
      <c r="Z29" s="438"/>
      <c r="AA29" s="432"/>
    </row>
    <row r="30" spans="1:158" ht="18.600000000000001" customHeight="1" x14ac:dyDescent="0.25">
      <c r="A30" s="432"/>
      <c r="B30" s="823"/>
      <c r="C30" s="866" t="s">
        <v>834</v>
      </c>
      <c r="D30" s="432"/>
      <c r="E30" s="432"/>
      <c r="F30" s="432"/>
      <c r="G30" s="432"/>
      <c r="H30" s="432"/>
      <c r="I30" s="432"/>
      <c r="J30" s="432"/>
      <c r="K30" s="432"/>
      <c r="L30" s="432"/>
      <c r="M30" s="432"/>
      <c r="N30" s="432"/>
      <c r="O30" s="432"/>
      <c r="P30" s="68" t="s">
        <v>828</v>
      </c>
      <c r="Q30" s="2151" t="e">
        <f>SUM(#REF!)</f>
        <v>#REF!</v>
      </c>
      <c r="R30" s="2151"/>
      <c r="S30" s="2151"/>
      <c r="T30" s="432"/>
      <c r="U30" s="432"/>
      <c r="V30" s="432"/>
      <c r="W30" s="436"/>
      <c r="X30" s="438"/>
      <c r="Y30" s="438"/>
      <c r="Z30" s="438"/>
      <c r="AA30" s="432"/>
    </row>
    <row r="31" spans="1:158" ht="18.600000000000001" customHeight="1" x14ac:dyDescent="0.25">
      <c r="A31" s="432"/>
      <c r="C31" s="866"/>
      <c r="D31" s="432"/>
      <c r="E31" s="432"/>
      <c r="F31" s="432"/>
      <c r="G31" s="432"/>
      <c r="H31" s="432"/>
      <c r="I31" s="432"/>
      <c r="J31" s="432"/>
      <c r="K31" s="432"/>
      <c r="L31" s="432"/>
      <c r="M31" s="432"/>
      <c r="N31" s="432"/>
      <c r="O31" s="432"/>
      <c r="P31" s="68"/>
      <c r="Q31" s="2151"/>
      <c r="R31" s="2151"/>
      <c r="S31" s="2151"/>
      <c r="T31" s="432"/>
      <c r="U31" s="432"/>
      <c r="V31" s="432"/>
      <c r="W31" s="436"/>
      <c r="X31" s="438"/>
      <c r="Y31" s="438"/>
      <c r="Z31" s="438"/>
      <c r="AA31" s="432"/>
    </row>
    <row r="32" spans="1:158" ht="18.600000000000001" customHeight="1" x14ac:dyDescent="0.25">
      <c r="A32" s="432"/>
      <c r="B32" s="823"/>
      <c r="C32" s="866" t="s">
        <v>838</v>
      </c>
      <c r="D32" s="432"/>
      <c r="E32" s="432"/>
      <c r="F32" s="432"/>
      <c r="G32" s="432"/>
      <c r="H32" s="432"/>
      <c r="I32" s="432"/>
      <c r="J32" s="432"/>
      <c r="K32" s="432"/>
      <c r="L32" s="432"/>
      <c r="M32" s="432"/>
      <c r="N32" s="432"/>
      <c r="O32" s="432"/>
      <c r="P32" s="68" t="s">
        <v>828</v>
      </c>
      <c r="Q32" s="2151" t="e">
        <f>SUM(#REF!)</f>
        <v>#REF!</v>
      </c>
      <c r="R32" s="2151"/>
      <c r="S32" s="2151"/>
      <c r="T32" s="432"/>
      <c r="U32" s="432"/>
      <c r="V32" s="432"/>
      <c r="W32" s="436"/>
      <c r="X32" s="438"/>
      <c r="Y32" s="438"/>
      <c r="Z32" s="438"/>
      <c r="AA32" s="432"/>
    </row>
    <row r="33" spans="1:27" ht="18.600000000000001" customHeight="1" x14ac:dyDescent="0.25">
      <c r="A33" s="432"/>
      <c r="B33" s="823"/>
      <c r="C33" s="866" t="s">
        <v>836</v>
      </c>
      <c r="D33" s="432"/>
      <c r="E33" s="432"/>
      <c r="F33" s="432"/>
      <c r="G33" s="432"/>
      <c r="H33" s="432"/>
      <c r="I33" s="432"/>
      <c r="J33" s="432"/>
      <c r="K33" s="432"/>
      <c r="L33" s="432"/>
      <c r="M33" s="432"/>
      <c r="N33" s="432"/>
      <c r="O33" s="432"/>
      <c r="P33" s="68" t="s">
        <v>828</v>
      </c>
      <c r="Q33" s="2151" t="e">
        <f>SUM(#REF!)</f>
        <v>#REF!</v>
      </c>
      <c r="R33" s="2151"/>
      <c r="S33" s="2151"/>
      <c r="T33" s="432"/>
      <c r="U33" s="432"/>
      <c r="V33" s="432"/>
      <c r="W33" s="432"/>
      <c r="X33" s="432"/>
      <c r="Y33" s="432"/>
      <c r="Z33" s="432"/>
      <c r="AA33" s="432"/>
    </row>
    <row r="34" spans="1:27" ht="18.600000000000001" customHeight="1" x14ac:dyDescent="0.25">
      <c r="A34" s="432"/>
      <c r="B34" s="823"/>
      <c r="C34" s="866" t="s">
        <v>835</v>
      </c>
      <c r="D34" s="432"/>
      <c r="E34" s="432"/>
      <c r="F34" s="432"/>
      <c r="G34" s="432"/>
      <c r="H34" s="432"/>
      <c r="I34" s="432"/>
      <c r="J34" s="432"/>
      <c r="K34" s="432"/>
      <c r="L34" s="432"/>
      <c r="M34" s="432"/>
      <c r="N34" s="432"/>
      <c r="O34" s="432"/>
      <c r="P34" s="68" t="s">
        <v>828</v>
      </c>
      <c r="Q34" s="2151" t="e">
        <f>SUM(#REF!)</f>
        <v>#REF!</v>
      </c>
      <c r="R34" s="2151"/>
      <c r="S34" s="2151"/>
      <c r="T34" s="432"/>
      <c r="U34" s="432"/>
      <c r="V34" s="432"/>
      <c r="W34" s="432"/>
      <c r="X34" s="432"/>
      <c r="Y34" s="432"/>
      <c r="Z34" s="432"/>
      <c r="AA34" s="432"/>
    </row>
    <row r="35" spans="1:27" ht="18.600000000000001" customHeight="1" x14ac:dyDescent="0.25">
      <c r="B35" s="823"/>
      <c r="C35" s="866" t="s">
        <v>837</v>
      </c>
      <c r="D35" s="432"/>
      <c r="E35" s="432"/>
      <c r="F35" s="432"/>
      <c r="G35" s="432"/>
      <c r="H35" s="432"/>
      <c r="I35" s="432"/>
      <c r="J35" s="432"/>
      <c r="K35" s="432"/>
      <c r="L35" s="432"/>
      <c r="M35" s="432"/>
      <c r="N35" s="432"/>
      <c r="O35" s="432"/>
      <c r="P35" s="68" t="s">
        <v>828</v>
      </c>
      <c r="Q35" s="2151" t="e">
        <f>SUM(#REF!)</f>
        <v>#REF!</v>
      </c>
      <c r="R35" s="2151"/>
      <c r="S35" s="2151"/>
    </row>
    <row r="36" spans="1:27" ht="18.600000000000001" customHeight="1" x14ac:dyDescent="0.25">
      <c r="Q36" s="21"/>
    </row>
    <row r="37" spans="1:27" ht="18.600000000000001" customHeight="1" x14ac:dyDescent="0.25">
      <c r="Q37" s="21"/>
    </row>
    <row r="38" spans="1:27" ht="18.600000000000001" customHeight="1" x14ac:dyDescent="0.25"/>
    <row r="39" spans="1:27" ht="18.600000000000001" customHeight="1" x14ac:dyDescent="0.25"/>
    <row r="40" spans="1:27" ht="18.600000000000001" customHeight="1" x14ac:dyDescent="0.25"/>
    <row r="41" spans="1:27" ht="18.600000000000001" customHeight="1" x14ac:dyDescent="0.25"/>
    <row r="42" spans="1:27" ht="18.600000000000001" customHeight="1" x14ac:dyDescent="0.25"/>
    <row r="43" spans="1:27" ht="18.600000000000001" customHeight="1" x14ac:dyDescent="0.25"/>
    <row r="44" spans="1:27" ht="18.600000000000001" customHeight="1" x14ac:dyDescent="0.25"/>
    <row r="45" spans="1:27" ht="18.600000000000001" customHeight="1" x14ac:dyDescent="0.25"/>
    <row r="46" spans="1:27" ht="18.600000000000001" customHeight="1" x14ac:dyDescent="0.25"/>
    <row r="47" spans="1:27" ht="18.600000000000001" customHeight="1" x14ac:dyDescent="0.25"/>
    <row r="48" spans="1:27" ht="18.600000000000001" customHeight="1" x14ac:dyDescent="0.25"/>
    <row r="49" ht="18.600000000000001" customHeight="1" x14ac:dyDescent="0.25"/>
    <row r="50" ht="18.600000000000001" customHeight="1" x14ac:dyDescent="0.25"/>
    <row r="51" ht="18.600000000000001" customHeight="1" x14ac:dyDescent="0.25"/>
    <row r="52" ht="18.600000000000001" customHeight="1" x14ac:dyDescent="0.25"/>
    <row r="53" ht="18.600000000000001" customHeight="1" x14ac:dyDescent="0.25"/>
    <row r="54" ht="18.600000000000001" customHeight="1" x14ac:dyDescent="0.25"/>
    <row r="55" ht="18.600000000000001" customHeight="1" x14ac:dyDescent="0.25"/>
    <row r="56" ht="18.600000000000001" customHeight="1" x14ac:dyDescent="0.25"/>
    <row r="57" ht="18.600000000000001" customHeight="1" x14ac:dyDescent="0.25"/>
    <row r="58" ht="18.600000000000001" customHeight="1" x14ac:dyDescent="0.25"/>
    <row r="59" ht="18.600000000000001" customHeight="1" x14ac:dyDescent="0.25"/>
    <row r="60" ht="18.600000000000001" customHeight="1" x14ac:dyDescent="0.25"/>
    <row r="61" ht="18.600000000000001" customHeight="1" x14ac:dyDescent="0.25"/>
    <row r="62" ht="18.600000000000001" customHeight="1" x14ac:dyDescent="0.25"/>
    <row r="63" ht="18.600000000000001" customHeight="1" x14ac:dyDescent="0.25"/>
    <row r="64" ht="18.600000000000001" customHeight="1" x14ac:dyDescent="0.25"/>
    <row r="65" ht="18.600000000000001" customHeight="1" x14ac:dyDescent="0.25"/>
    <row r="66" ht="18.600000000000001" customHeight="1" x14ac:dyDescent="0.25"/>
    <row r="67" ht="18.600000000000001" customHeight="1" x14ac:dyDescent="0.25"/>
    <row r="68" ht="18.600000000000001" customHeight="1" x14ac:dyDescent="0.25"/>
    <row r="69" ht="18.600000000000001" customHeight="1" x14ac:dyDescent="0.25"/>
    <row r="70" ht="18.600000000000001" customHeight="1" x14ac:dyDescent="0.25"/>
    <row r="71" ht="18.600000000000001" customHeight="1" x14ac:dyDescent="0.25"/>
    <row r="72" ht="18.600000000000001" customHeight="1" x14ac:dyDescent="0.25"/>
    <row r="73" ht="18.600000000000001" customHeight="1" x14ac:dyDescent="0.25"/>
    <row r="74" ht="18.600000000000001" customHeight="1" x14ac:dyDescent="0.25"/>
    <row r="75" ht="18.600000000000001" customHeight="1" x14ac:dyDescent="0.25"/>
    <row r="76" ht="18.600000000000001" customHeight="1" x14ac:dyDescent="0.25"/>
    <row r="77" ht="18.600000000000001" customHeight="1" x14ac:dyDescent="0.25"/>
    <row r="78" ht="18.600000000000001" customHeight="1" x14ac:dyDescent="0.25"/>
    <row r="79" ht="18.600000000000001" customHeight="1" x14ac:dyDescent="0.25"/>
    <row r="80" ht="18.600000000000001" customHeight="1" x14ac:dyDescent="0.25"/>
    <row r="81" ht="18.600000000000001" customHeight="1" x14ac:dyDescent="0.25"/>
    <row r="82" ht="18.600000000000001" customHeight="1" x14ac:dyDescent="0.25"/>
    <row r="83" ht="18.600000000000001" customHeight="1" x14ac:dyDescent="0.25"/>
    <row r="84" ht="18.600000000000001" customHeight="1" x14ac:dyDescent="0.25"/>
    <row r="85" ht="18.600000000000001" customHeight="1" x14ac:dyDescent="0.25"/>
    <row r="86" ht="18.600000000000001" customHeight="1" x14ac:dyDescent="0.25"/>
    <row r="87" ht="18.600000000000001" customHeight="1" x14ac:dyDescent="0.25"/>
    <row r="88" ht="18.600000000000001" customHeight="1" x14ac:dyDescent="0.25"/>
    <row r="89" ht="18.600000000000001" customHeight="1" x14ac:dyDescent="0.25"/>
    <row r="90" ht="18.600000000000001" customHeight="1" x14ac:dyDescent="0.25"/>
    <row r="91" ht="18.600000000000001" customHeight="1" x14ac:dyDescent="0.25"/>
    <row r="92" ht="18.600000000000001" customHeight="1" x14ac:dyDescent="0.25"/>
    <row r="93" ht="18.600000000000001" customHeight="1" x14ac:dyDescent="0.25"/>
    <row r="94" ht="18.600000000000001" customHeight="1" x14ac:dyDescent="0.25"/>
    <row r="95" ht="18.600000000000001" customHeight="1" x14ac:dyDescent="0.25"/>
    <row r="96" ht="18.600000000000001" customHeight="1" x14ac:dyDescent="0.25"/>
    <row r="97" ht="18.600000000000001" customHeight="1" x14ac:dyDescent="0.25"/>
    <row r="98" ht="18.600000000000001" customHeight="1" x14ac:dyDescent="0.25"/>
    <row r="99" ht="18.600000000000001" customHeight="1" x14ac:dyDescent="0.25"/>
    <row r="100" ht="18.600000000000001" customHeight="1" x14ac:dyDescent="0.25"/>
  </sheetData>
  <mergeCells count="26">
    <mergeCell ref="Q33:S33"/>
    <mergeCell ref="Q34:S34"/>
    <mergeCell ref="Q35:S35"/>
    <mergeCell ref="B19:AB19"/>
    <mergeCell ref="B28:AB28"/>
    <mergeCell ref="B23:AB23"/>
    <mergeCell ref="Q24:S24"/>
    <mergeCell ref="Q29:S29"/>
    <mergeCell ref="Q30:S30"/>
    <mergeCell ref="Q31:S31"/>
    <mergeCell ref="Q32:S32"/>
    <mergeCell ref="Q20:S20"/>
    <mergeCell ref="Q21:S21"/>
    <mergeCell ref="Q22:S22"/>
    <mergeCell ref="B9:AB9"/>
    <mergeCell ref="A1:Q1"/>
    <mergeCell ref="A2:AA2"/>
    <mergeCell ref="B3:F3"/>
    <mergeCell ref="H3:R3"/>
    <mergeCell ref="S3:U3"/>
    <mergeCell ref="V3:AA3"/>
    <mergeCell ref="B4:F4"/>
    <mergeCell ref="H4:J4"/>
    <mergeCell ref="S4:U4"/>
    <mergeCell ref="V4:Z4"/>
    <mergeCell ref="B5:Z5"/>
  </mergeCells>
  <conditionalFormatting sqref="W10:Z13 W20:Z22 X29:Z32">
    <cfRule type="iconSet" priority="34">
      <iconSet iconSet="3Symbols2" showValue="0">
        <cfvo type="percent" val="0"/>
        <cfvo type="percent" val="33"/>
        <cfvo type="percent" val="67"/>
      </iconSet>
    </cfRule>
  </conditionalFormatting>
  <conditionalFormatting sqref="B10:B16">
    <cfRule type="iconSet" priority="33">
      <iconSet iconSet="3Symbols2" showValue="0">
        <cfvo type="percent" val="0"/>
        <cfvo type="num" val="0.5"/>
        <cfvo type="num" val="1"/>
      </iconSet>
    </cfRule>
  </conditionalFormatting>
  <conditionalFormatting sqref="B20:B22 B24:B25">
    <cfRule type="iconSet" priority="32">
      <iconSet iconSet="3Symbols2" showValue="0">
        <cfvo type="percent" val="0"/>
        <cfvo type="num" val="0.5"/>
        <cfvo type="num" val="1"/>
      </iconSet>
    </cfRule>
  </conditionalFormatting>
  <conditionalFormatting sqref="B29:B30">
    <cfRule type="iconSet" priority="31">
      <iconSet iconSet="3Symbols2" showValue="0">
        <cfvo type="percent" val="0"/>
        <cfvo type="num" val="0.5"/>
        <cfvo type="num" val="1"/>
      </iconSet>
    </cfRule>
  </conditionalFormatting>
  <conditionalFormatting sqref="B32">
    <cfRule type="iconSet" priority="30">
      <iconSet iconSet="3Symbols2" showValue="0">
        <cfvo type="percent" val="0"/>
        <cfvo type="num" val="0.5"/>
        <cfvo type="num" val="1"/>
      </iconSet>
    </cfRule>
  </conditionalFormatting>
  <conditionalFormatting sqref="B33">
    <cfRule type="iconSet" priority="29">
      <iconSet iconSet="3Symbols2" showValue="0">
        <cfvo type="percent" val="0"/>
        <cfvo type="num" val="0.5"/>
        <cfvo type="num" val="1"/>
      </iconSet>
    </cfRule>
  </conditionalFormatting>
  <conditionalFormatting sqref="B34">
    <cfRule type="iconSet" priority="28">
      <iconSet iconSet="3Symbols2" showValue="0">
        <cfvo type="percent" val="0"/>
        <cfvo type="num" val="0.5"/>
        <cfvo type="num" val="1"/>
      </iconSet>
    </cfRule>
  </conditionalFormatting>
  <conditionalFormatting sqref="B35">
    <cfRule type="iconSet" priority="27">
      <iconSet iconSet="3Symbols2" showValue="0">
        <cfvo type="percent" val="0"/>
        <cfvo type="num" val="0.5"/>
        <cfvo type="num" val="1"/>
      </iconSet>
    </cfRule>
  </conditionalFormatting>
  <conditionalFormatting sqref="C10:C16">
    <cfRule type="expression" dxfId="63" priority="7">
      <formula>$B10=""</formula>
    </cfRule>
    <cfRule type="expression" dxfId="62" priority="22">
      <formula>$B10=0</formula>
    </cfRule>
  </conditionalFormatting>
  <conditionalFormatting sqref="C11:C16">
    <cfRule type="expression" dxfId="61" priority="10">
      <formula>$B11=0</formula>
    </cfRule>
    <cfRule type="expression" dxfId="60" priority="11">
      <formula>$B11=""</formula>
    </cfRule>
  </conditionalFormatting>
  <conditionalFormatting sqref="C20:C22">
    <cfRule type="expression" dxfId="59" priority="5">
      <formula>$B20=""</formula>
    </cfRule>
    <cfRule type="expression" dxfId="58" priority="6">
      <formula>$B20=0</formula>
    </cfRule>
  </conditionalFormatting>
  <conditionalFormatting sqref="C24:C25">
    <cfRule type="expression" dxfId="57" priority="3">
      <formula>$B24=""</formula>
    </cfRule>
    <cfRule type="expression" dxfId="56" priority="4">
      <formula>$B24=0</formula>
    </cfRule>
  </conditionalFormatting>
  <conditionalFormatting sqref="C29:C35">
    <cfRule type="expression" dxfId="55" priority="1">
      <formula>$B29=""</formula>
    </cfRule>
    <cfRule type="expression" dxfId="54" priority="2">
      <formula>$B29=0</formula>
    </cfRule>
  </conditionalFormatting>
  <printOptions horizontalCentered="1"/>
  <pageMargins left="0.23622047244094491" right="0.23622047244094491" top="0.74803149606299213" bottom="0.74803149606299213" header="0.31496062992125984" footer="0"/>
  <pageSetup paperSize="9" scale="99" orientation="portrait" r:id="rId1"/>
  <headerFooter>
    <oddHeader>&amp;C&amp;G</oddHeader>
    <oddFooter>&amp;R&amp;G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CO84"/>
  <sheetViews>
    <sheetView showGridLines="0" showRuler="0" zoomScaleNormal="100" workbookViewId="0">
      <selection activeCell="P39" sqref="P39"/>
    </sheetView>
  </sheetViews>
  <sheetFormatPr defaultRowHeight="15" x14ac:dyDescent="0.25"/>
  <cols>
    <col min="1" max="1" width="2.5703125" customWidth="1"/>
    <col min="2" max="2" width="21.85546875" customWidth="1"/>
    <col min="3" max="3" width="12.7109375" style="3" customWidth="1"/>
    <col min="4" max="4" width="12.7109375" style="294" customWidth="1"/>
    <col min="5" max="5" width="12.7109375" style="3" customWidth="1"/>
    <col min="6" max="6" width="12.7109375" style="294" customWidth="1"/>
    <col min="7" max="7" width="8.28515625" style="294" customWidth="1"/>
    <col min="8" max="8" width="2.5703125" customWidth="1"/>
    <col min="9" max="9" width="21.85546875" customWidth="1"/>
    <col min="10" max="10" width="12.7109375" style="3" customWidth="1"/>
    <col min="11" max="11" width="12.7109375" style="294" customWidth="1"/>
    <col min="12" max="12" width="12.7109375" style="3" customWidth="1"/>
    <col min="13" max="13" width="12.7109375" style="294" customWidth="1"/>
    <col min="14" max="14" width="5.28515625" customWidth="1"/>
    <col min="15" max="15" width="2.5703125" customWidth="1"/>
    <col min="16" max="16" width="17.5703125" customWidth="1"/>
    <col min="17" max="17" width="11.5703125" customWidth="1"/>
    <col min="18" max="18" width="10.5703125" customWidth="1"/>
    <col min="19" max="19" width="2.5703125" customWidth="1"/>
    <col min="20" max="20" width="10.5703125" customWidth="1"/>
    <col min="21" max="21" width="2.5703125" customWidth="1"/>
    <col min="22" max="22" width="3.5703125" customWidth="1"/>
    <col min="23" max="23" width="3.28515625" style="232" customWidth="1"/>
    <col min="24" max="25" width="2.5703125" style="231" customWidth="1"/>
    <col min="26" max="26" width="6.28515625" style="232" bestFit="1" customWidth="1"/>
    <col min="27" max="34" width="2.5703125" style="231" customWidth="1"/>
    <col min="35" max="85" width="2.5703125" customWidth="1"/>
    <col min="86" max="94" width="9.28515625" customWidth="1"/>
  </cols>
  <sheetData>
    <row r="1" spans="1:93" s="1438" customFormat="1" ht="33.6" customHeight="1" x14ac:dyDescent="0.4">
      <c r="A1" s="1435" t="s">
        <v>754</v>
      </c>
      <c r="B1" s="1435"/>
      <c r="C1" s="1435"/>
      <c r="D1" s="1435"/>
      <c r="E1" s="1436"/>
      <c r="F1" s="1436"/>
      <c r="G1" s="1437"/>
      <c r="H1" s="1435" t="str">
        <f>+A1</f>
        <v>Payslip Analysis</v>
      </c>
      <c r="I1" s="1435"/>
      <c r="J1" s="1435"/>
      <c r="K1" s="1435"/>
      <c r="L1" s="1435"/>
      <c r="M1" s="1436"/>
      <c r="W1" s="1439"/>
      <c r="X1" s="1440"/>
      <c r="Y1" s="1440"/>
      <c r="Z1" s="1439"/>
      <c r="AA1" s="1440"/>
      <c r="AB1" s="1440"/>
      <c r="AC1" s="1440"/>
      <c r="AD1" s="1440"/>
      <c r="AE1" s="1440"/>
      <c r="AF1" s="1440"/>
      <c r="AG1" s="1440"/>
      <c r="AH1" s="1440"/>
    </row>
    <row r="2" spans="1:93" x14ac:dyDescent="0.25">
      <c r="A2" s="700"/>
      <c r="B2" s="700"/>
      <c r="C2" s="700"/>
      <c r="D2" s="700"/>
      <c r="E2" s="700"/>
      <c r="F2" s="700"/>
      <c r="G2" s="299"/>
      <c r="H2" s="700"/>
      <c r="I2" s="700"/>
      <c r="J2" s="700"/>
      <c r="K2" s="700"/>
      <c r="L2" s="700"/>
      <c r="M2" s="700"/>
    </row>
    <row r="3" spans="1:93" x14ac:dyDescent="0.25">
      <c r="A3" s="783"/>
      <c r="B3" s="687" t="s">
        <v>755</v>
      </c>
      <c r="C3" s="691" t="str">
        <f>+Profile!I4</f>
        <v/>
      </c>
      <c r="D3" s="691"/>
      <c r="E3" s="691"/>
      <c r="F3" s="687"/>
      <c r="G3" s="299"/>
      <c r="H3" s="783"/>
      <c r="I3" s="687" t="s">
        <v>669</v>
      </c>
      <c r="J3" s="691" t="str">
        <f>+Profile!T4</f>
        <v xml:space="preserve">  </v>
      </c>
      <c r="K3" s="691"/>
      <c r="L3" s="691"/>
      <c r="M3" s="691"/>
    </row>
    <row r="4" spans="1:93" x14ac:dyDescent="0.25">
      <c r="A4" s="783"/>
      <c r="B4" s="687" t="s">
        <v>756</v>
      </c>
      <c r="C4" s="768" t="e">
        <f>+D36</f>
        <v>#VALUE!</v>
      </c>
      <c r="D4" s="687"/>
      <c r="E4" s="687"/>
      <c r="F4" s="687"/>
      <c r="G4" s="299"/>
      <c r="H4" s="783"/>
      <c r="I4" s="687" t="str">
        <f>+B4</f>
        <v>Adopted Income:</v>
      </c>
      <c r="J4" s="768" t="e">
        <f>+K36</f>
        <v>#VALUE!</v>
      </c>
      <c r="K4" s="687"/>
      <c r="L4" s="687"/>
      <c r="M4" s="687"/>
    </row>
    <row r="5" spans="1:93" x14ac:dyDescent="0.25">
      <c r="A5" s="698"/>
      <c r="B5" s="698"/>
      <c r="C5" s="698"/>
      <c r="D5" s="698"/>
      <c r="E5" s="698"/>
      <c r="F5" s="698"/>
      <c r="G5" s="299"/>
      <c r="H5" s="689"/>
      <c r="I5" s="698"/>
      <c r="J5" s="698"/>
      <c r="K5" s="698"/>
      <c r="L5" s="698"/>
      <c r="M5" s="698"/>
    </row>
    <row r="6" spans="1:93" x14ac:dyDescent="0.25">
      <c r="A6" s="784"/>
      <c r="B6" s="785"/>
      <c r="C6" s="786"/>
      <c r="D6" s="787"/>
      <c r="E6" s="786"/>
      <c r="F6" s="788"/>
      <c r="G6" s="304"/>
      <c r="H6" s="75"/>
      <c r="I6" s="76"/>
      <c r="J6" s="233"/>
      <c r="K6" s="234"/>
      <c r="L6" s="233"/>
      <c r="M6" s="235"/>
      <c r="N6" s="236"/>
    </row>
    <row r="7" spans="1:93" x14ac:dyDescent="0.25">
      <c r="A7" s="78"/>
      <c r="B7" s="2179" t="s">
        <v>447</v>
      </c>
      <c r="C7" s="2179"/>
      <c r="D7" s="2179" t="s">
        <v>21</v>
      </c>
      <c r="E7" s="2179"/>
      <c r="F7" s="241"/>
      <c r="G7" s="305"/>
      <c r="H7" s="78"/>
      <c r="I7" s="2179" t="s">
        <v>447</v>
      </c>
      <c r="J7" s="2179"/>
      <c r="K7" s="2179" t="s">
        <v>21</v>
      </c>
      <c r="L7" s="2179"/>
      <c r="M7" s="241"/>
      <c r="N7" s="236"/>
    </row>
    <row r="8" spans="1:93" ht="18.75" x14ac:dyDescent="0.3">
      <c r="A8" s="78"/>
      <c r="B8" s="2180" t="str">
        <f>+Profile!I4</f>
        <v/>
      </c>
      <c r="C8" s="2181"/>
      <c r="D8" s="2180" t="str">
        <f>+Income!M14</f>
        <v/>
      </c>
      <c r="E8" s="2181"/>
      <c r="F8" s="245"/>
      <c r="G8" s="306"/>
      <c r="H8" s="78"/>
      <c r="I8" s="2180" t="str">
        <f>IF(Profile!T4="","",Profile!T4)</f>
        <v xml:space="preserve">  </v>
      </c>
      <c r="J8" s="2181"/>
      <c r="K8" s="2180" t="str">
        <f>+Income!X14</f>
        <v/>
      </c>
      <c r="L8" s="2181"/>
      <c r="M8" s="245"/>
      <c r="N8" s="236"/>
    </row>
    <row r="9" spans="1:93" x14ac:dyDescent="0.25">
      <c r="A9" s="78"/>
      <c r="B9" s="79"/>
      <c r="C9" s="246"/>
      <c r="D9" s="247"/>
      <c r="E9" s="246"/>
      <c r="F9" s="248"/>
      <c r="G9" s="307"/>
      <c r="H9" s="78"/>
      <c r="I9" s="79"/>
      <c r="J9" s="246"/>
      <c r="K9" s="247"/>
      <c r="L9" s="246"/>
      <c r="M9" s="248"/>
      <c r="N9" s="236"/>
    </row>
    <row r="10" spans="1:93" x14ac:dyDescent="0.25">
      <c r="A10" s="78"/>
      <c r="B10" s="249" t="s">
        <v>448</v>
      </c>
      <c r="C10" s="250">
        <v>42786</v>
      </c>
      <c r="D10" s="251"/>
      <c r="E10" s="252">
        <v>42552</v>
      </c>
      <c r="F10" s="248" t="s">
        <v>449</v>
      </c>
      <c r="G10" s="307"/>
      <c r="H10" s="78"/>
      <c r="I10" s="249" t="s">
        <v>448</v>
      </c>
      <c r="J10" s="250">
        <v>42786</v>
      </c>
      <c r="K10" s="251"/>
      <c r="L10" s="252">
        <v>42552</v>
      </c>
      <c r="M10" s="248" t="s">
        <v>449</v>
      </c>
      <c r="N10" s="253"/>
      <c r="AE10" s="254"/>
      <c r="AP10" s="255"/>
      <c r="AQ10" s="255"/>
    </row>
    <row r="11" spans="1:93" x14ac:dyDescent="0.25">
      <c r="A11" s="78"/>
      <c r="B11" s="249" t="s">
        <v>450</v>
      </c>
      <c r="C11" s="250">
        <f>+C10+7</f>
        <v>42793</v>
      </c>
      <c r="D11" s="251"/>
      <c r="E11" s="252">
        <f>+C11</f>
        <v>42793</v>
      </c>
      <c r="F11" s="248" t="s">
        <v>451</v>
      </c>
      <c r="G11" s="307"/>
      <c r="H11" s="78"/>
      <c r="I11" s="249" t="s">
        <v>450</v>
      </c>
      <c r="J11" s="250">
        <f>+J10+7</f>
        <v>42793</v>
      </c>
      <c r="K11" s="251"/>
      <c r="L11" s="252">
        <f>+J11</f>
        <v>42793</v>
      </c>
      <c r="M11" s="248" t="s">
        <v>451</v>
      </c>
      <c r="N11" s="236"/>
      <c r="AP11" s="255"/>
      <c r="AQ11" s="255"/>
      <c r="CH11" s="75"/>
      <c r="CI11" s="76"/>
      <c r="CJ11" s="76"/>
      <c r="CK11" s="76"/>
      <c r="CL11" s="76"/>
      <c r="CM11" s="76"/>
      <c r="CN11" s="76"/>
      <c r="CO11" s="77"/>
    </row>
    <row r="12" spans="1:93" x14ac:dyDescent="0.25">
      <c r="A12" s="78"/>
      <c r="B12" s="249" t="s">
        <v>452</v>
      </c>
      <c r="C12" s="257" t="s">
        <v>235</v>
      </c>
      <c r="D12" s="258"/>
      <c r="E12" s="259" t="str">
        <f>CONCATENATE(+E11-E10," Days")</f>
        <v>241 Days</v>
      </c>
      <c r="F12" s="260"/>
      <c r="G12" s="258"/>
      <c r="H12" s="78"/>
      <c r="I12" s="249" t="s">
        <v>452</v>
      </c>
      <c r="J12" s="257" t="s">
        <v>235</v>
      </c>
      <c r="K12" s="258"/>
      <c r="L12" s="259" t="str">
        <f>CONCATENATE(+L11-L10," Days")</f>
        <v>241 Days</v>
      </c>
      <c r="M12" s="260"/>
      <c r="N12" s="236"/>
      <c r="AG12" s="256"/>
      <c r="AH12" s="256"/>
      <c r="AI12" s="79"/>
      <c r="AJ12" s="79"/>
      <c r="AK12" s="79"/>
      <c r="AL12" s="79"/>
      <c r="AM12" s="79"/>
      <c r="AN12" s="79"/>
      <c r="AP12" s="255"/>
      <c r="AQ12" s="255"/>
      <c r="CH12" s="78"/>
      <c r="CI12" s="79"/>
      <c r="CJ12" s="79"/>
      <c r="CK12" s="79"/>
      <c r="CL12" s="79"/>
      <c r="CM12" s="79"/>
      <c r="CN12" s="79"/>
      <c r="CO12" s="81"/>
    </row>
    <row r="13" spans="1:93" x14ac:dyDescent="0.25">
      <c r="A13" s="78"/>
      <c r="B13" s="261"/>
      <c r="C13" s="716" t="str">
        <f>IF(CI16&lt;10,"Weekly",IF(CI16&lt;18,"Fortnightly",IF(CI16&gt;27,"Monthly","Please Check")))</f>
        <v>Weekly</v>
      </c>
      <c r="D13" s="790" t="s">
        <v>454</v>
      </c>
      <c r="E13" s="717"/>
      <c r="F13" s="793" t="s">
        <v>454</v>
      </c>
      <c r="G13" s="309"/>
      <c r="H13" s="78"/>
      <c r="I13" s="261"/>
      <c r="J13" s="716" t="str">
        <f>IF(CI32&lt;10,"Weekly",IF(CI32&lt;18,"Fortnightly",IF(CI32&gt;27,"Monthly","Please Check")))</f>
        <v>Weekly</v>
      </c>
      <c r="K13" s="790" t="s">
        <v>454</v>
      </c>
      <c r="L13" s="717"/>
      <c r="M13" s="793" t="s">
        <v>454</v>
      </c>
      <c r="N13" s="262"/>
      <c r="AP13" s="255"/>
      <c r="AQ13" s="255"/>
      <c r="CH13" s="78"/>
      <c r="CI13" s="79" t="s">
        <v>271</v>
      </c>
      <c r="CJ13" s="79"/>
      <c r="CK13" s="79"/>
      <c r="CL13" s="80" t="s">
        <v>236</v>
      </c>
      <c r="CM13" s="80" t="s">
        <v>237</v>
      </c>
      <c r="CN13" s="80" t="s">
        <v>238</v>
      </c>
      <c r="CO13" s="81"/>
    </row>
    <row r="14" spans="1:93" x14ac:dyDescent="0.25">
      <c r="A14" s="78"/>
      <c r="B14" s="264"/>
      <c r="C14" s="265" t="s">
        <v>455</v>
      </c>
      <c r="D14" s="790" t="s">
        <v>250</v>
      </c>
      <c r="E14" s="265" t="s">
        <v>456</v>
      </c>
      <c r="F14" s="793"/>
      <c r="G14" s="309"/>
      <c r="H14" s="78"/>
      <c r="I14" s="264"/>
      <c r="J14" s="265" t="s">
        <v>455</v>
      </c>
      <c r="K14" s="790" t="s">
        <v>250</v>
      </c>
      <c r="L14" s="265" t="s">
        <v>456</v>
      </c>
      <c r="M14" s="793"/>
      <c r="N14" s="262"/>
      <c r="AP14" s="255"/>
      <c r="AQ14" s="255"/>
      <c r="CH14" s="78"/>
      <c r="CI14" s="79"/>
      <c r="CJ14" s="79"/>
      <c r="CK14" s="79"/>
      <c r="CL14" s="83">
        <f>IF(AND($C$52&gt;=CL18,$C$52&lt;CL19),CN18,IF(AND($C$52&gt;=CL19,$C$52&lt;CL20),CN19+($C$52-CL19)*CM19,IF(AND($C$52&gt;=CL20,$C$52&lt;CL21),CN20+($C$52-CL20)*CM20,IF(AND($C$52&gt;=CL21,$C$52&lt;CL22),CN21+($C$52-CL21)*CM21,IF($C$52&gt;=CL22,CN22+($C$52-CL22)*CM22,"Error")))))</f>
        <v>0</v>
      </c>
      <c r="CM14" s="83">
        <f>+C52*CM23</f>
        <v>0</v>
      </c>
      <c r="CN14" s="83">
        <f>+CL14+CM14</f>
        <v>0</v>
      </c>
      <c r="CO14" s="81"/>
    </row>
    <row r="15" spans="1:93" x14ac:dyDescent="0.25">
      <c r="A15" s="78"/>
      <c r="B15" s="267" t="s">
        <v>458</v>
      </c>
      <c r="C15" s="257"/>
      <c r="D15" s="790" t="e">
        <f>+D8/CJ18</f>
        <v>#VALUE!</v>
      </c>
      <c r="E15" s="257"/>
      <c r="F15" s="793">
        <f>+D51/365*(E$11-E$10)</f>
        <v>0</v>
      </c>
      <c r="G15" s="309"/>
      <c r="H15" s="78"/>
      <c r="I15" s="267" t="s">
        <v>458</v>
      </c>
      <c r="J15" s="257"/>
      <c r="K15" s="790" t="e">
        <f>+K8/CJ18</f>
        <v>#VALUE!</v>
      </c>
      <c r="L15" s="257"/>
      <c r="M15" s="793">
        <f>J51/365*(L11-L10)</f>
        <v>0</v>
      </c>
      <c r="N15" s="262"/>
      <c r="Z15" s="232" t="str">
        <f>IF((E15-F15)&lt;-1000,"CHECK - YTD Gross Income may be low",IF((E15-F15)&gt;1000,"CHECK - YTD Gross Income may be high",""))</f>
        <v/>
      </c>
      <c r="AG15" s="256"/>
      <c r="AH15" s="256"/>
      <c r="AI15" s="79"/>
      <c r="AJ15" s="79"/>
      <c r="AK15" s="79"/>
      <c r="AL15" s="79"/>
      <c r="AM15" s="79"/>
      <c r="AN15" s="79"/>
      <c r="AP15" s="255"/>
      <c r="AQ15" s="255"/>
      <c r="CH15" s="78"/>
      <c r="CI15" s="79"/>
      <c r="CJ15" s="79"/>
      <c r="CK15" s="79"/>
      <c r="CL15" s="79"/>
      <c r="CM15" s="79"/>
      <c r="CN15" s="79"/>
      <c r="CO15" s="81"/>
    </row>
    <row r="16" spans="1:93" x14ac:dyDescent="0.25">
      <c r="A16" s="78"/>
      <c r="B16" s="249" t="s">
        <v>459</v>
      </c>
      <c r="C16" s="257">
        <f>+C15</f>
        <v>0</v>
      </c>
      <c r="D16" s="790"/>
      <c r="E16" s="257">
        <f>+E15</f>
        <v>0</v>
      </c>
      <c r="F16" s="793">
        <f>+D52/365*(E$11-E$10)</f>
        <v>0</v>
      </c>
      <c r="G16" s="309"/>
      <c r="H16" s="78"/>
      <c r="I16" s="249" t="s">
        <v>459</v>
      </c>
      <c r="J16" s="257">
        <f>+J15</f>
        <v>0</v>
      </c>
      <c r="K16" s="790"/>
      <c r="L16" s="257">
        <f>+L15</f>
        <v>0</v>
      </c>
      <c r="M16" s="793">
        <f>J52/365*(L11-L10)</f>
        <v>0</v>
      </c>
      <c r="N16" s="262"/>
      <c r="Z16" s="232" t="str">
        <f>IF((E16-F16)&lt;-1000,"CHECK - YTD Net Income may be low",IF((E16-F16)&gt;1000,"CHECK - YTD Net Income may be high",""))</f>
        <v/>
      </c>
      <c r="AG16" s="256"/>
      <c r="AH16" s="256"/>
      <c r="AI16" s="79"/>
      <c r="AJ16" s="79"/>
      <c r="AK16" s="79"/>
      <c r="AL16" s="79"/>
      <c r="AM16" s="79"/>
      <c r="AN16" s="79"/>
      <c r="AP16" s="255"/>
      <c r="AQ16" s="255"/>
      <c r="CH16" s="78"/>
      <c r="CI16" s="82">
        <f>+C11-C10</f>
        <v>7</v>
      </c>
      <c r="CJ16" s="272" t="s">
        <v>460</v>
      </c>
      <c r="CK16" s="79"/>
      <c r="CL16" s="2175" t="s">
        <v>239</v>
      </c>
      <c r="CM16" s="2175"/>
      <c r="CN16" s="2175"/>
      <c r="CO16" s="81"/>
    </row>
    <row r="17" spans="1:93" x14ac:dyDescent="0.25">
      <c r="A17" s="78"/>
      <c r="B17" s="249" t="s">
        <v>461</v>
      </c>
      <c r="C17" s="257"/>
      <c r="D17" s="791">
        <f>+$CN$14/CJ18</f>
        <v>0</v>
      </c>
      <c r="E17" s="257"/>
      <c r="F17" s="793">
        <f>+D53/365*(E$11-E$10)</f>
        <v>0</v>
      </c>
      <c r="G17" s="309"/>
      <c r="H17" s="78"/>
      <c r="I17" s="249" t="s">
        <v>461</v>
      </c>
      <c r="J17" s="257"/>
      <c r="K17" s="791">
        <f>+$CN$14/CJ18</f>
        <v>0</v>
      </c>
      <c r="L17" s="257"/>
      <c r="M17" s="793">
        <f>J53/365*(L11-L10)</f>
        <v>0</v>
      </c>
      <c r="N17" s="262"/>
      <c r="Z17" s="232" t="str">
        <f>IF((C53-D53)&lt;-500,"CHECK - Tax may be low/free/ITW Variation",IF((C53-D53)&gt;500,"CHECK - Tax may be High or include HELP Debt",""))</f>
        <v/>
      </c>
      <c r="AG17" s="256"/>
      <c r="AH17" s="256"/>
      <c r="AI17" s="79"/>
      <c r="AJ17" s="79"/>
      <c r="AK17" s="79"/>
      <c r="AL17" s="79"/>
      <c r="AM17" s="79"/>
      <c r="AN17" s="79"/>
      <c r="AP17" s="255"/>
      <c r="AQ17" s="255"/>
      <c r="CH17" s="78"/>
      <c r="CI17" s="79"/>
      <c r="CJ17" s="79"/>
      <c r="CK17" s="79"/>
      <c r="CL17" s="84" t="str">
        <f>+Settings!V20</f>
        <v>Bracket</v>
      </c>
      <c r="CM17" s="84" t="s">
        <v>29</v>
      </c>
      <c r="CN17" s="84" t="s">
        <v>241</v>
      </c>
      <c r="CO17" s="81"/>
    </row>
    <row r="18" spans="1:93" x14ac:dyDescent="0.25">
      <c r="A18" s="78"/>
      <c r="B18" s="249" t="s">
        <v>462</v>
      </c>
      <c r="C18" s="257">
        <f>+C15-C17</f>
        <v>0</v>
      </c>
      <c r="D18" s="791">
        <f>+D54/CJ18</f>
        <v>0</v>
      </c>
      <c r="E18" s="257">
        <f>+E15-E17</f>
        <v>0</v>
      </c>
      <c r="F18" s="793">
        <f>+C54/365*(E$11-E$10)</f>
        <v>0</v>
      </c>
      <c r="G18" s="309"/>
      <c r="H18" s="78"/>
      <c r="I18" s="249" t="s">
        <v>462</v>
      </c>
      <c r="J18" s="257">
        <f>+J15-J17</f>
        <v>0</v>
      </c>
      <c r="K18" s="791">
        <f>+K54/CJ34</f>
        <v>0</v>
      </c>
      <c r="L18" s="257">
        <f>+L15-L17</f>
        <v>0</v>
      </c>
      <c r="M18" s="793">
        <f>+J54/365*(L$11-L$10)</f>
        <v>0</v>
      </c>
      <c r="N18" s="262"/>
      <c r="AG18" s="256"/>
      <c r="AH18" s="256"/>
      <c r="AI18" s="79"/>
      <c r="AJ18" s="79"/>
      <c r="AK18" s="79"/>
      <c r="AL18" s="79"/>
      <c r="AM18" s="79"/>
      <c r="AN18" s="79"/>
      <c r="AP18" s="255"/>
      <c r="AQ18" s="255"/>
      <c r="CH18" s="78"/>
      <c r="CI18" s="273" t="s">
        <v>463</v>
      </c>
      <c r="CJ18" s="274">
        <f>VLOOKUP(C12,CI19:CJ23,2,FALSE)</f>
        <v>52</v>
      </c>
      <c r="CK18" s="79"/>
      <c r="CL18" s="87">
        <f>+Settings!V21</f>
        <v>0</v>
      </c>
      <c r="CM18" s="86">
        <f>+Settings!W21</f>
        <v>0</v>
      </c>
      <c r="CN18" s="87">
        <f>+Settings!X21</f>
        <v>0</v>
      </c>
      <c r="CO18" s="81"/>
    </row>
    <row r="19" spans="1:93" x14ac:dyDescent="0.25">
      <c r="A19" s="78"/>
      <c r="B19" s="249"/>
      <c r="C19" s="275"/>
      <c r="D19" s="790"/>
      <c r="E19" s="275"/>
      <c r="F19" s="793"/>
      <c r="G19" s="309"/>
      <c r="H19" s="78"/>
      <c r="I19" s="249"/>
      <c r="J19" s="275"/>
      <c r="K19" s="790"/>
      <c r="L19" s="275"/>
      <c r="M19" s="793"/>
      <c r="N19" s="262"/>
      <c r="AG19" s="256"/>
      <c r="AH19" s="256"/>
      <c r="AI19" s="79"/>
      <c r="AJ19" s="79"/>
      <c r="AK19" s="79"/>
      <c r="AL19" s="79"/>
      <c r="AM19" s="79"/>
      <c r="AN19" s="79"/>
      <c r="AP19" s="255"/>
      <c r="AQ19" s="255"/>
      <c r="CH19" s="78"/>
      <c r="CI19" s="90" t="s">
        <v>235</v>
      </c>
      <c r="CJ19" s="90">
        <v>52</v>
      </c>
      <c r="CK19" s="79"/>
      <c r="CL19" s="87">
        <f>+Settings!V22</f>
        <v>18201</v>
      </c>
      <c r="CM19" s="86">
        <f>+Settings!W22</f>
        <v>0.19</v>
      </c>
      <c r="CN19" s="87">
        <f>+Settings!X22</f>
        <v>0</v>
      </c>
      <c r="CO19" s="81"/>
    </row>
    <row r="20" spans="1:93" x14ac:dyDescent="0.25">
      <c r="A20" s="78"/>
      <c r="B20" s="249" t="s">
        <v>464</v>
      </c>
      <c r="C20" s="257"/>
      <c r="D20" s="791"/>
      <c r="E20" s="257"/>
      <c r="F20" s="793">
        <f>+D56/365*(E$11-E$10)</f>
        <v>0</v>
      </c>
      <c r="G20" s="309"/>
      <c r="H20" s="78"/>
      <c r="I20" s="249" t="s">
        <v>464</v>
      </c>
      <c r="J20" s="257">
        <v>0</v>
      </c>
      <c r="K20" s="791"/>
      <c r="L20" s="257">
        <v>0</v>
      </c>
      <c r="M20" s="793">
        <f>J56/365*(L$11-L$10)</f>
        <v>0</v>
      </c>
      <c r="N20" s="262"/>
      <c r="AP20" s="255"/>
      <c r="AQ20" s="255"/>
      <c r="CH20" s="78"/>
      <c r="CI20" s="90" t="s">
        <v>465</v>
      </c>
      <c r="CJ20" s="90">
        <v>26</v>
      </c>
      <c r="CK20" s="79"/>
      <c r="CL20" s="87">
        <f>+Settings!V23</f>
        <v>37001</v>
      </c>
      <c r="CM20" s="86">
        <f>+Settings!W23</f>
        <v>0.32500000000000001</v>
      </c>
      <c r="CN20" s="87">
        <f>+Settings!X23</f>
        <v>3572</v>
      </c>
      <c r="CO20" s="81"/>
    </row>
    <row r="21" spans="1:93" x14ac:dyDescent="0.25">
      <c r="A21" s="78"/>
      <c r="B21" s="249" t="s">
        <v>466</v>
      </c>
      <c r="C21" s="257">
        <f>+C18-C20</f>
        <v>0</v>
      </c>
      <c r="D21" s="791">
        <f>+C18-C20</f>
        <v>0</v>
      </c>
      <c r="E21" s="257">
        <f>+E18-E20</f>
        <v>0</v>
      </c>
      <c r="F21" s="793">
        <f>+D57/365*(E$11-E$10)</f>
        <v>0</v>
      </c>
      <c r="G21" s="309"/>
      <c r="H21" s="78"/>
      <c r="I21" s="249" t="s">
        <v>466</v>
      </c>
      <c r="J21" s="257">
        <f>+J18-J20</f>
        <v>0</v>
      </c>
      <c r="K21" s="791">
        <f>+J18-J20</f>
        <v>0</v>
      </c>
      <c r="L21" s="257">
        <f>+L18-L20</f>
        <v>0</v>
      </c>
      <c r="M21" s="793">
        <f>+M18-M20</f>
        <v>0</v>
      </c>
      <c r="N21" s="262"/>
      <c r="AP21" s="255"/>
      <c r="CH21" s="78"/>
      <c r="CI21" s="90" t="s">
        <v>467</v>
      </c>
      <c r="CJ21" s="90">
        <v>13</v>
      </c>
      <c r="CK21" s="79"/>
      <c r="CL21" s="87">
        <f>+Settings!V24</f>
        <v>80001</v>
      </c>
      <c r="CM21" s="86">
        <f>+Settings!W24</f>
        <v>0.37</v>
      </c>
      <c r="CN21" s="87">
        <f>+Settings!X24</f>
        <v>17547</v>
      </c>
      <c r="CO21" s="81"/>
    </row>
    <row r="22" spans="1:93" x14ac:dyDescent="0.25">
      <c r="A22" s="78"/>
      <c r="B22" s="249"/>
      <c r="C22" s="277"/>
      <c r="D22" s="792"/>
      <c r="E22" s="277"/>
      <c r="F22" s="793"/>
      <c r="G22" s="309"/>
      <c r="H22" s="78"/>
      <c r="I22" s="249"/>
      <c r="J22" s="277"/>
      <c r="K22" s="792"/>
      <c r="L22" s="277"/>
      <c r="M22" s="793"/>
      <c r="N22" s="262"/>
      <c r="AP22" s="255"/>
      <c r="CH22" s="78"/>
      <c r="CI22" s="90" t="s">
        <v>361</v>
      </c>
      <c r="CJ22" s="90">
        <v>12</v>
      </c>
      <c r="CK22" s="79"/>
      <c r="CL22" s="87">
        <f>+Settings!V25</f>
        <v>180001</v>
      </c>
      <c r="CM22" s="86">
        <f>+Settings!W25</f>
        <v>0.45</v>
      </c>
      <c r="CN22" s="87">
        <f>+Settings!X25</f>
        <v>54547</v>
      </c>
      <c r="CO22" s="81"/>
    </row>
    <row r="23" spans="1:93" x14ac:dyDescent="0.25">
      <c r="A23" s="78"/>
      <c r="B23" s="249" t="s">
        <v>468</v>
      </c>
      <c r="C23" s="257"/>
      <c r="D23" s="791">
        <f>+(C51*0.095)/CJ18</f>
        <v>0</v>
      </c>
      <c r="E23" s="257"/>
      <c r="F23" s="793">
        <f>+C59/365*(E$11-E$10)</f>
        <v>0</v>
      </c>
      <c r="G23" s="309"/>
      <c r="H23" s="78"/>
      <c r="I23" s="249" t="s">
        <v>468</v>
      </c>
      <c r="J23" s="257"/>
      <c r="K23" s="791">
        <f>+(J51*0.095)/CJ34</f>
        <v>0</v>
      </c>
      <c r="L23" s="257"/>
      <c r="M23" s="793">
        <f>+J59/365*(L$11-L$10)</f>
        <v>0</v>
      </c>
      <c r="N23" s="236"/>
      <c r="Z23" s="232" t="str">
        <f>IF((C59-D59)&lt;-500,"CHECK - Super is less than 9% (low)",IF((C59-D59)&gt;500,"CHECK - Super is above 9% and may be discretionery",""))</f>
        <v/>
      </c>
      <c r="AP23" s="255"/>
      <c r="CH23" s="78"/>
      <c r="CI23" s="90" t="s">
        <v>362</v>
      </c>
      <c r="CJ23" s="90">
        <v>1</v>
      </c>
      <c r="CK23" s="79"/>
      <c r="CL23" s="84" t="str">
        <f>+Settings!V26</f>
        <v>Medicare</v>
      </c>
      <c r="CM23" s="91">
        <f>+Settings!W26</f>
        <v>1.4999999999999999E-2</v>
      </c>
      <c r="CN23" s="90"/>
      <c r="CO23" s="81"/>
    </row>
    <row r="24" spans="1:93" x14ac:dyDescent="0.25">
      <c r="A24" s="88"/>
      <c r="B24" s="89"/>
      <c r="C24" s="280"/>
      <c r="D24" s="718"/>
      <c r="E24" s="281"/>
      <c r="F24" s="719"/>
      <c r="G24" s="308"/>
      <c r="H24" s="88"/>
      <c r="I24" s="89"/>
      <c r="J24" s="280"/>
      <c r="K24" s="718"/>
      <c r="L24" s="281"/>
      <c r="M24" s="719"/>
      <c r="N24" s="236"/>
      <c r="AP24" s="255"/>
      <c r="CH24" s="78"/>
      <c r="CI24" s="79"/>
      <c r="CJ24" s="79"/>
      <c r="CK24" s="79"/>
      <c r="CL24" s="79"/>
      <c r="CM24" s="79"/>
      <c r="CN24" s="79"/>
      <c r="CO24" s="81"/>
    </row>
    <row r="25" spans="1:93" x14ac:dyDescent="0.25">
      <c r="B25" s="286"/>
      <c r="C25" s="287"/>
      <c r="D25" s="288"/>
      <c r="E25" s="289"/>
      <c r="F25" s="290"/>
      <c r="G25" s="794"/>
      <c r="I25" s="286"/>
      <c r="J25" s="287"/>
      <c r="K25" s="288"/>
      <c r="L25" s="289"/>
      <c r="M25" s="290"/>
      <c r="N25" s="291"/>
      <c r="CH25" s="88"/>
      <c r="CI25" s="89"/>
      <c r="CJ25" s="89"/>
      <c r="CK25" s="89"/>
      <c r="CL25" s="89"/>
      <c r="CM25" s="89"/>
      <c r="CN25" s="89"/>
      <c r="CO25" s="92"/>
    </row>
    <row r="26" spans="1:93" x14ac:dyDescent="0.25">
      <c r="B26" s="286"/>
      <c r="C26" s="287"/>
      <c r="D26" s="288"/>
      <c r="E26" s="289"/>
      <c r="F26" s="288"/>
      <c r="G26" s="795"/>
      <c r="I26" s="286"/>
      <c r="J26" s="287"/>
      <c r="K26" s="288"/>
      <c r="L26" s="289"/>
      <c r="M26" s="288"/>
      <c r="N26" s="255"/>
    </row>
    <row r="27" spans="1:93" x14ac:dyDescent="0.25">
      <c r="B27" s="255"/>
      <c r="C27" s="293"/>
      <c r="E27"/>
      <c r="G27" s="247"/>
      <c r="I27" s="255"/>
      <c r="J27" s="293"/>
      <c r="L27"/>
      <c r="N27" s="255"/>
      <c r="CH27" s="75"/>
      <c r="CI27" s="76"/>
      <c r="CJ27" s="76"/>
      <c r="CK27" s="76"/>
      <c r="CL27" s="76"/>
      <c r="CM27" s="76"/>
      <c r="CN27" s="76"/>
      <c r="CO27" s="77"/>
    </row>
    <row r="28" spans="1:93" x14ac:dyDescent="0.25">
      <c r="C28" s="2152" t="s">
        <v>469</v>
      </c>
      <c r="D28" s="2153"/>
      <c r="E28" s="2154"/>
      <c r="G28" s="247"/>
      <c r="J28" s="2152" t="s">
        <v>469</v>
      </c>
      <c r="K28" s="2153"/>
      <c r="L28" s="2154"/>
      <c r="N28" s="292"/>
      <c r="CH28" s="78"/>
      <c r="CI28" s="79" t="s">
        <v>272</v>
      </c>
      <c r="CJ28" s="79"/>
      <c r="CK28" s="79"/>
      <c r="CL28" s="79"/>
      <c r="CM28" s="79"/>
      <c r="CN28" s="79"/>
      <c r="CO28" s="81"/>
    </row>
    <row r="29" spans="1:93" x14ac:dyDescent="0.25">
      <c r="C29" s="2157" t="s">
        <v>470</v>
      </c>
      <c r="D29" s="2158"/>
      <c r="E29" s="2159"/>
      <c r="G29" s="247"/>
      <c r="J29" s="2157" t="s">
        <v>470</v>
      </c>
      <c r="K29" s="2158"/>
      <c r="L29" s="2159"/>
      <c r="CH29" s="78"/>
      <c r="CI29" s="79"/>
      <c r="CJ29" s="79"/>
      <c r="CK29" s="79"/>
      <c r="CL29" s="80" t="s">
        <v>236</v>
      </c>
      <c r="CM29" s="80" t="s">
        <v>237</v>
      </c>
      <c r="CN29" s="80" t="s">
        <v>238</v>
      </c>
      <c r="CO29" s="81"/>
    </row>
    <row r="30" spans="1:93" x14ac:dyDescent="0.25">
      <c r="C30" s="293"/>
      <c r="E30"/>
      <c r="G30" s="247"/>
      <c r="J30" s="293"/>
      <c r="L30"/>
      <c r="CH30" s="78"/>
      <c r="CI30" s="79"/>
      <c r="CJ30" s="79"/>
      <c r="CK30" s="79"/>
      <c r="CL30" s="83">
        <f>IF(AND($J$52&gt;=CL18,$J$52&lt;CL19),CN18,IF(AND($J$52&gt;=CL19,$J$52&lt;CL20),CN19+($J$52-CL19)*CM19,IF(AND($J$52&gt;=CL20,$J$52&lt;CL21),CN20+($J$52-CL20)*CM20,IF(AND($J$52&gt;=CL21,$J$52&lt;CL22),CN21+($J$52-CL21)*CM21,IF($J$52&gt;=CL22,CN22+($J$52-CL22)*CM22,"Error")))))</f>
        <v>0</v>
      </c>
      <c r="CM30" s="83">
        <f>+J52*CM39</f>
        <v>0</v>
      </c>
      <c r="CN30" s="83">
        <f>+CL30+CM30</f>
        <v>0</v>
      </c>
      <c r="CO30" s="81"/>
    </row>
    <row r="31" spans="1:93" x14ac:dyDescent="0.25">
      <c r="A31" s="2160" t="s">
        <v>471</v>
      </c>
      <c r="B31" s="2160"/>
      <c r="C31" s="2160"/>
      <c r="D31" s="2160"/>
      <c r="E31" s="2160"/>
      <c r="F31" s="2160"/>
      <c r="H31" s="2160" t="s">
        <v>471</v>
      </c>
      <c r="I31" s="2160"/>
      <c r="J31" s="2160"/>
      <c r="K31" s="2160"/>
      <c r="L31" s="2160"/>
      <c r="M31" s="2160"/>
      <c r="CH31" s="78"/>
      <c r="CI31" s="79"/>
      <c r="CJ31" s="79"/>
      <c r="CK31" s="79"/>
      <c r="CL31" s="79"/>
      <c r="CM31" s="79"/>
      <c r="CN31" s="79"/>
      <c r="CO31" s="81"/>
    </row>
    <row r="32" spans="1:93" x14ac:dyDescent="0.25">
      <c r="A32" s="2161" t="s">
        <v>472</v>
      </c>
      <c r="B32" s="2162"/>
      <c r="C32" s="2163"/>
      <c r="D32" s="2176" t="s">
        <v>473</v>
      </c>
      <c r="E32" s="2177"/>
      <c r="F32" s="2178"/>
      <c r="H32" s="2161" t="s">
        <v>472</v>
      </c>
      <c r="I32" s="2162"/>
      <c r="J32" s="2163"/>
      <c r="K32" s="2176" t="s">
        <v>473</v>
      </c>
      <c r="L32" s="2177"/>
      <c r="M32" s="2178"/>
      <c r="CH32" s="78"/>
      <c r="CI32" s="82">
        <f>J11-J10</f>
        <v>7</v>
      </c>
      <c r="CJ32" s="272" t="s">
        <v>460</v>
      </c>
      <c r="CK32" s="79"/>
      <c r="CL32" s="2175" t="s">
        <v>239</v>
      </c>
      <c r="CM32" s="2175"/>
      <c r="CN32" s="2175"/>
      <c r="CO32" s="81"/>
    </row>
    <row r="33" spans="1:93" x14ac:dyDescent="0.25">
      <c r="A33" s="2166" t="s">
        <v>474</v>
      </c>
      <c r="B33" s="2167"/>
      <c r="C33" s="2168"/>
      <c r="D33" s="2164" t="str">
        <f>+D8</f>
        <v/>
      </c>
      <c r="E33" s="2165"/>
      <c r="F33" s="295">
        <v>1</v>
      </c>
      <c r="H33" s="2166" t="s">
        <v>474</v>
      </c>
      <c r="I33" s="2167"/>
      <c r="J33" s="2168"/>
      <c r="K33" s="2164" t="str">
        <f>+K8</f>
        <v/>
      </c>
      <c r="L33" s="2165"/>
      <c r="M33" s="295">
        <v>1</v>
      </c>
      <c r="N33" s="428" t="e">
        <f>+F33*D33</f>
        <v>#VALUE!</v>
      </c>
      <c r="O33" s="428" t="e">
        <f>+M33*K33</f>
        <v>#VALUE!</v>
      </c>
      <c r="CH33" s="78"/>
      <c r="CI33" s="79"/>
      <c r="CJ33" s="79"/>
      <c r="CK33" s="79"/>
      <c r="CL33" s="84" t="s">
        <v>240</v>
      </c>
      <c r="CM33" s="84" t="s">
        <v>29</v>
      </c>
      <c r="CN33" s="84" t="s">
        <v>241</v>
      </c>
      <c r="CO33" s="81"/>
    </row>
    <row r="34" spans="1:93" x14ac:dyDescent="0.25">
      <c r="A34" s="2166" t="s">
        <v>475</v>
      </c>
      <c r="B34" s="2167"/>
      <c r="C34" s="2168"/>
      <c r="D34" s="2164">
        <f>+C51</f>
        <v>0</v>
      </c>
      <c r="E34" s="2165"/>
      <c r="F34" s="295">
        <v>0</v>
      </c>
      <c r="H34" s="2166" t="s">
        <v>475</v>
      </c>
      <c r="I34" s="2167"/>
      <c r="J34" s="2168"/>
      <c r="K34" s="2164">
        <f>+J51</f>
        <v>0</v>
      </c>
      <c r="L34" s="2165"/>
      <c r="M34" s="295">
        <v>0</v>
      </c>
      <c r="N34" s="428">
        <f>+F34*D34</f>
        <v>0</v>
      </c>
      <c r="O34" s="428">
        <f>+M34*K34</f>
        <v>0</v>
      </c>
      <c r="CH34" s="78"/>
      <c r="CI34" s="273" t="s">
        <v>463</v>
      </c>
      <c r="CJ34" s="274">
        <f>VLOOKUP(J12,CI35:CJ39,2,FALSE)</f>
        <v>52</v>
      </c>
      <c r="CK34" s="79"/>
      <c r="CL34" s="85">
        <f t="shared" ref="CL34:CN35" si="0">+CL18</f>
        <v>0</v>
      </c>
      <c r="CM34" s="86">
        <f t="shared" si="0"/>
        <v>0</v>
      </c>
      <c r="CN34" s="87">
        <f t="shared" si="0"/>
        <v>0</v>
      </c>
      <c r="CO34" s="81"/>
    </row>
    <row r="35" spans="1:93" x14ac:dyDescent="0.25">
      <c r="A35" s="2166" t="s">
        <v>456</v>
      </c>
      <c r="B35" s="2167"/>
      <c r="C35" s="2168"/>
      <c r="D35" s="297" t="e">
        <f>+E35/D34</f>
        <v>#DIV/0!</v>
      </c>
      <c r="E35" s="298">
        <f>+E15/(E11-E10)*365</f>
        <v>0</v>
      </c>
      <c r="F35" s="295">
        <v>0</v>
      </c>
      <c r="G35" s="299"/>
      <c r="H35" s="2166" t="s">
        <v>456</v>
      </c>
      <c r="I35" s="2167"/>
      <c r="J35" s="2168"/>
      <c r="K35" s="297" t="e">
        <f>+L35/K34</f>
        <v>#DIV/0!</v>
      </c>
      <c r="L35" s="298">
        <f>+L15/(L11-L10)*365</f>
        <v>0</v>
      </c>
      <c r="M35" s="295">
        <v>0</v>
      </c>
      <c r="N35" s="428"/>
      <c r="O35" s="428"/>
      <c r="CH35" s="78"/>
      <c r="CI35" s="429" t="s">
        <v>235</v>
      </c>
      <c r="CJ35" s="430">
        <v>52</v>
      </c>
      <c r="CK35" s="79"/>
      <c r="CL35" s="85">
        <f t="shared" si="0"/>
        <v>18201</v>
      </c>
      <c r="CM35" s="86">
        <f t="shared" si="0"/>
        <v>0.19</v>
      </c>
      <c r="CN35" s="87">
        <f t="shared" si="0"/>
        <v>0</v>
      </c>
      <c r="CO35" s="81"/>
    </row>
    <row r="36" spans="1:93" ht="21" x14ac:dyDescent="0.35">
      <c r="A36" s="2169" t="s">
        <v>477</v>
      </c>
      <c r="B36" s="2170"/>
      <c r="C36" s="2171"/>
      <c r="D36" s="2172" t="e">
        <f>SUM(N33:N36)</f>
        <v>#VALUE!</v>
      </c>
      <c r="E36" s="2173"/>
      <c r="F36" s="2174"/>
      <c r="G36" s="789"/>
      <c r="H36" s="2169" t="s">
        <v>477</v>
      </c>
      <c r="I36" s="2170"/>
      <c r="J36" s="2171"/>
      <c r="K36" s="2172" t="e">
        <f>SUM(O33:O36)</f>
        <v>#VALUE!</v>
      </c>
      <c r="L36" s="2173"/>
      <c r="M36" s="2174"/>
      <c r="N36" s="428">
        <f>+F35*E35</f>
        <v>0</v>
      </c>
      <c r="O36" s="428">
        <f>+M35*L35</f>
        <v>0</v>
      </c>
      <c r="CH36" s="78"/>
      <c r="CI36" s="90" t="s">
        <v>465</v>
      </c>
      <c r="CJ36" s="90">
        <v>26</v>
      </c>
      <c r="CK36" s="79"/>
      <c r="CL36" s="85">
        <f t="shared" ref="CL36:CN38" si="1">+CL20</f>
        <v>37001</v>
      </c>
      <c r="CM36" s="86">
        <f t="shared" si="1"/>
        <v>0.32500000000000001</v>
      </c>
      <c r="CN36" s="87">
        <f t="shared" si="1"/>
        <v>3572</v>
      </c>
      <c r="CO36" s="81"/>
    </row>
    <row r="37" spans="1:93" x14ac:dyDescent="0.25">
      <c r="CH37" s="78"/>
      <c r="CI37" s="90" t="s">
        <v>467</v>
      </c>
      <c r="CJ37" s="90">
        <v>13</v>
      </c>
      <c r="CK37" s="79"/>
      <c r="CL37" s="85">
        <f t="shared" si="1"/>
        <v>80001</v>
      </c>
      <c r="CM37" s="86">
        <f t="shared" si="1"/>
        <v>0.37</v>
      </c>
      <c r="CN37" s="87">
        <f t="shared" si="1"/>
        <v>17547</v>
      </c>
      <c r="CO37" s="81"/>
    </row>
    <row r="38" spans="1:93" ht="18.75" x14ac:dyDescent="0.3">
      <c r="A38" s="2156" t="s">
        <v>478</v>
      </c>
      <c r="B38" s="2156"/>
      <c r="C38" s="2156"/>
      <c r="D38" s="232"/>
      <c r="E38" s="232"/>
      <c r="F38" s="232"/>
      <c r="H38" s="2156" t="s">
        <v>478</v>
      </c>
      <c r="I38" s="2156"/>
      <c r="J38" s="2156"/>
      <c r="K38" s="232"/>
      <c r="L38" s="232"/>
      <c r="M38" s="232"/>
      <c r="CH38" s="78"/>
      <c r="CI38" s="90" t="s">
        <v>361</v>
      </c>
      <c r="CJ38" s="90">
        <v>12</v>
      </c>
      <c r="CK38" s="79"/>
      <c r="CL38" s="85">
        <f t="shared" si="1"/>
        <v>180001</v>
      </c>
      <c r="CM38" s="86">
        <f t="shared" si="1"/>
        <v>0.45</v>
      </c>
      <c r="CN38" s="87">
        <f t="shared" si="1"/>
        <v>54547</v>
      </c>
      <c r="CO38" s="81"/>
    </row>
    <row r="39" spans="1:93" x14ac:dyDescent="0.25">
      <c r="N39" s="232"/>
      <c r="O39" s="232"/>
      <c r="P39" s="232"/>
      <c r="Q39" s="232"/>
      <c r="R39" s="232"/>
      <c r="S39" s="232"/>
      <c r="T39" s="232"/>
      <c r="U39" s="232"/>
      <c r="V39" s="232"/>
      <c r="X39" s="232"/>
      <c r="Y39" s="232"/>
      <c r="CH39" s="78"/>
      <c r="CI39" s="90" t="s">
        <v>362</v>
      </c>
      <c r="CJ39" s="90">
        <v>1</v>
      </c>
      <c r="CK39" s="79"/>
      <c r="CL39" s="90" t="s">
        <v>237</v>
      </c>
      <c r="CM39" s="91">
        <v>1.4999999999999999E-2</v>
      </c>
      <c r="CN39" s="90"/>
      <c r="CO39" s="81"/>
    </row>
    <row r="40" spans="1:93" x14ac:dyDescent="0.25">
      <c r="CH40" s="88"/>
      <c r="CI40" s="89"/>
      <c r="CJ40" s="89"/>
      <c r="CK40" s="89"/>
      <c r="CL40" s="89"/>
      <c r="CM40" s="89"/>
      <c r="CN40" s="89"/>
      <c r="CO40" s="92"/>
    </row>
    <row r="42" spans="1:93" x14ac:dyDescent="0.25">
      <c r="A42" s="237"/>
      <c r="B42" s="238"/>
      <c r="C42" s="238"/>
      <c r="D42" s="238"/>
      <c r="E42" s="238"/>
      <c r="F42" s="238"/>
      <c r="G42" s="311"/>
      <c r="H42" s="237"/>
      <c r="I42" s="238"/>
      <c r="J42" s="238"/>
      <c r="K42" s="238"/>
      <c r="L42" s="238"/>
      <c r="M42" s="238"/>
    </row>
    <row r="43" spans="1:93" x14ac:dyDescent="0.25">
      <c r="A43" s="242"/>
      <c r="B43" s="243"/>
      <c r="C43" s="243"/>
      <c r="D43" s="243"/>
      <c r="E43" s="243"/>
      <c r="F43" s="243"/>
      <c r="G43" s="310"/>
      <c r="H43" s="242"/>
      <c r="I43" s="243"/>
      <c r="J43" s="243"/>
      <c r="K43" s="243"/>
      <c r="L43" s="243"/>
      <c r="M43" s="243"/>
    </row>
    <row r="44" spans="1:93" x14ac:dyDescent="0.25">
      <c r="A44" s="242"/>
      <c r="B44" s="243"/>
      <c r="C44" s="243"/>
      <c r="D44" s="243"/>
      <c r="E44" s="243"/>
      <c r="F44" s="243"/>
      <c r="G44" s="310"/>
      <c r="H44" s="242"/>
      <c r="I44" s="243"/>
      <c r="J44" s="243"/>
      <c r="K44" s="243"/>
      <c r="L44" s="243"/>
      <c r="M44" s="243"/>
    </row>
    <row r="45" spans="1:93" x14ac:dyDescent="0.25">
      <c r="A45" s="242"/>
      <c r="B45" s="243"/>
      <c r="C45" s="243"/>
      <c r="D45" s="243"/>
      <c r="E45" s="243"/>
      <c r="F45" s="243"/>
      <c r="G45" s="310"/>
      <c r="H45" s="242"/>
      <c r="I45" s="243"/>
      <c r="J45" s="243"/>
      <c r="K45" s="243"/>
      <c r="L45" s="243"/>
      <c r="M45" s="243"/>
    </row>
    <row r="46" spans="1:93" x14ac:dyDescent="0.25">
      <c r="A46" s="242"/>
      <c r="B46" s="243"/>
      <c r="C46" s="243"/>
      <c r="D46" s="243"/>
      <c r="E46" s="243"/>
      <c r="F46" s="243"/>
      <c r="G46" s="310"/>
      <c r="H46" s="242"/>
      <c r="I46" s="243"/>
      <c r="J46" s="243"/>
      <c r="K46" s="243"/>
      <c r="L46" s="243"/>
      <c r="M46" s="243"/>
    </row>
    <row r="47" spans="1:93" x14ac:dyDescent="0.25">
      <c r="A47" s="242"/>
      <c r="B47" s="236"/>
      <c r="C47" s="236"/>
      <c r="D47" s="236"/>
      <c r="E47" s="236"/>
      <c r="F47" s="262"/>
      <c r="G47" s="310"/>
      <c r="H47" s="242"/>
      <c r="I47" s="236"/>
      <c r="J47" s="236"/>
      <c r="K47" s="236"/>
      <c r="L47" s="236"/>
      <c r="M47" s="262"/>
    </row>
    <row r="48" spans="1:93" x14ac:dyDescent="0.25">
      <c r="A48" s="242"/>
      <c r="B48" s="2155" t="s">
        <v>453</v>
      </c>
      <c r="C48" s="2155"/>
      <c r="D48" s="2155"/>
      <c r="E48" s="2155"/>
      <c r="F48" s="262"/>
      <c r="G48" s="310"/>
      <c r="H48" s="242"/>
      <c r="I48" s="2155" t="s">
        <v>453</v>
      </c>
      <c r="J48" s="2155"/>
      <c r="K48" s="2155"/>
      <c r="L48" s="2155"/>
      <c r="M48" s="262"/>
    </row>
    <row r="49" spans="1:34" x14ac:dyDescent="0.25">
      <c r="A49" s="263"/>
      <c r="B49" s="262"/>
      <c r="C49" s="262"/>
      <c r="D49" s="262"/>
      <c r="E49" s="262"/>
      <c r="F49" s="262"/>
      <c r="G49" s="310"/>
      <c r="H49" s="263"/>
      <c r="I49" s="262"/>
      <c r="J49" s="262"/>
      <c r="K49" s="262"/>
      <c r="L49" s="262"/>
      <c r="M49" s="262"/>
    </row>
    <row r="50" spans="1:34" x14ac:dyDescent="0.25">
      <c r="A50" s="263"/>
      <c r="B50" s="262"/>
      <c r="C50" s="266" t="s">
        <v>455</v>
      </c>
      <c r="D50" s="266" t="s">
        <v>454</v>
      </c>
      <c r="E50" s="266" t="s">
        <v>457</v>
      </c>
      <c r="F50" s="247"/>
      <c r="G50" s="310"/>
      <c r="H50" s="263"/>
      <c r="I50" s="262"/>
      <c r="J50" s="266" t="s">
        <v>455</v>
      </c>
      <c r="K50" s="266" t="s">
        <v>454</v>
      </c>
      <c r="L50" s="266" t="s">
        <v>457</v>
      </c>
      <c r="M50" s="247"/>
    </row>
    <row r="51" spans="1:34" x14ac:dyDescent="0.25">
      <c r="A51" s="263"/>
      <c r="B51" s="268" t="str">
        <f>+B15</f>
        <v>INCOME - Gross</v>
      </c>
      <c r="C51" s="269">
        <f>+C15*$CJ$18</f>
        <v>0</v>
      </c>
      <c r="D51" s="270">
        <f>+C51</f>
        <v>0</v>
      </c>
      <c r="E51" s="271">
        <f>+D51-C51</f>
        <v>0</v>
      </c>
      <c r="F51" s="247"/>
      <c r="G51" s="310"/>
      <c r="H51" s="263"/>
      <c r="I51" s="268" t="str">
        <f>+I15</f>
        <v>INCOME - Gross</v>
      </c>
      <c r="J51" s="269">
        <f>+J15*$CJ$34</f>
        <v>0</v>
      </c>
      <c r="K51" s="270">
        <f>+J51</f>
        <v>0</v>
      </c>
      <c r="L51" s="271">
        <f>+K51-J51</f>
        <v>0</v>
      </c>
      <c r="M51" s="247"/>
    </row>
    <row r="52" spans="1:34" x14ac:dyDescent="0.25">
      <c r="A52" s="263"/>
      <c r="B52" s="268" t="str">
        <f>+B16</f>
        <v>INCOME - Taxable</v>
      </c>
      <c r="C52" s="269">
        <f>+C16*$CJ$18</f>
        <v>0</v>
      </c>
      <c r="D52" s="270">
        <f>+C52</f>
        <v>0</v>
      </c>
      <c r="E52" s="271">
        <f>+D52-C52</f>
        <v>0</v>
      </c>
      <c r="F52" s="247"/>
      <c r="G52" s="310"/>
      <c r="H52" s="263"/>
      <c r="I52" s="268" t="str">
        <f>+I16</f>
        <v>INCOME - Taxable</v>
      </c>
      <c r="J52" s="269">
        <f>+J16*$CJ$34</f>
        <v>0</v>
      </c>
      <c r="K52" s="270">
        <f>+J52</f>
        <v>0</v>
      </c>
      <c r="L52" s="271">
        <f>+K52-J52</f>
        <v>0</v>
      </c>
      <c r="M52" s="247"/>
    </row>
    <row r="53" spans="1:34" x14ac:dyDescent="0.25">
      <c r="A53" s="263"/>
      <c r="B53" s="268" t="str">
        <f>+B17</f>
        <v>TAX PAID</v>
      </c>
      <c r="C53" s="269">
        <f>+C17*$CJ$18</f>
        <v>0</v>
      </c>
      <c r="D53" s="270">
        <f>+D17*$CJ$18</f>
        <v>0</v>
      </c>
      <c r="E53" s="271">
        <f>+D53-C53</f>
        <v>0</v>
      </c>
      <c r="F53" s="247"/>
      <c r="G53" s="310"/>
      <c r="H53" s="263"/>
      <c r="I53" s="268" t="str">
        <f>+I17</f>
        <v>TAX PAID</v>
      </c>
      <c r="J53" s="269">
        <f>+J17*$CJ$34</f>
        <v>0</v>
      </c>
      <c r="K53" s="270">
        <f>+K17*$CJ$34</f>
        <v>0</v>
      </c>
      <c r="L53" s="271">
        <f>+K53-J53</f>
        <v>0</v>
      </c>
      <c r="M53" s="247"/>
      <c r="Y53"/>
      <c r="Z53"/>
      <c r="AA53"/>
      <c r="AB53"/>
      <c r="AC53"/>
      <c r="AD53"/>
      <c r="AE53"/>
      <c r="AF53"/>
      <c r="AG53"/>
      <c r="AH53"/>
    </row>
    <row r="54" spans="1:34" x14ac:dyDescent="0.25">
      <c r="A54" s="263"/>
      <c r="B54" s="268" t="str">
        <f>+B18</f>
        <v>NET PAY</v>
      </c>
      <c r="C54" s="269">
        <f>+C18*$CJ$18</f>
        <v>0</v>
      </c>
      <c r="D54" s="270">
        <f>+D51-D53</f>
        <v>0</v>
      </c>
      <c r="E54" s="271">
        <f>+D54-C54</f>
        <v>0</v>
      </c>
      <c r="F54" s="247"/>
      <c r="G54" s="310"/>
      <c r="H54" s="263"/>
      <c r="I54" s="268" t="str">
        <f>+I18</f>
        <v>NET PAY</v>
      </c>
      <c r="J54" s="269">
        <f>+J18*$CJ$34</f>
        <v>0</v>
      </c>
      <c r="K54" s="270">
        <f>+K51-K53</f>
        <v>0</v>
      </c>
      <c r="L54" s="271">
        <f>+K54-J54</f>
        <v>0</v>
      </c>
      <c r="M54" s="247"/>
      <c r="Y54"/>
      <c r="Z54"/>
      <c r="AA54"/>
      <c r="AB54"/>
      <c r="AC54"/>
      <c r="AD54"/>
      <c r="AE54"/>
      <c r="AF54"/>
      <c r="AG54"/>
      <c r="AH54"/>
    </row>
    <row r="55" spans="1:34" x14ac:dyDescent="0.25">
      <c r="A55" s="263"/>
      <c r="B55" s="268"/>
      <c r="C55" s="275"/>
      <c r="D55" s="275"/>
      <c r="E55" s="276"/>
      <c r="F55" s="247"/>
      <c r="G55" s="310"/>
      <c r="H55" s="263"/>
      <c r="I55" s="268"/>
      <c r="J55" s="275"/>
      <c r="K55" s="275"/>
      <c r="L55" s="276"/>
      <c r="M55" s="247"/>
      <c r="Y55"/>
      <c r="Z55"/>
      <c r="AA55"/>
      <c r="AB55"/>
      <c r="AC55"/>
      <c r="AD55"/>
      <c r="AE55"/>
      <c r="AF55"/>
      <c r="AG55"/>
      <c r="AH55"/>
    </row>
    <row r="56" spans="1:34" x14ac:dyDescent="0.25">
      <c r="A56" s="263"/>
      <c r="B56" s="268" t="str">
        <f>+B20</f>
        <v>Deductions</v>
      </c>
      <c r="C56" s="269">
        <f>+C20*$CJ$18</f>
        <v>0</v>
      </c>
      <c r="D56" s="270">
        <f>+C20*$CJ$18</f>
        <v>0</v>
      </c>
      <c r="E56" s="271">
        <f>+D56-C56</f>
        <v>0</v>
      </c>
      <c r="F56" s="247"/>
      <c r="G56" s="310"/>
      <c r="H56" s="263"/>
      <c r="I56" s="268" t="str">
        <f>+I20</f>
        <v>Deductions</v>
      </c>
      <c r="J56" s="269">
        <f>+J20*$CJ$18</f>
        <v>0</v>
      </c>
      <c r="K56" s="270">
        <f>+J20*$CJ$34</f>
        <v>0</v>
      </c>
      <c r="L56" s="271">
        <f>+K56-J56</f>
        <v>0</v>
      </c>
      <c r="M56" s="247"/>
      <c r="Y56"/>
      <c r="Z56"/>
      <c r="AA56"/>
      <c r="AB56"/>
      <c r="AC56"/>
      <c r="AD56"/>
      <c r="AE56"/>
      <c r="AF56"/>
      <c r="AG56"/>
      <c r="AH56"/>
    </row>
    <row r="57" spans="1:34" x14ac:dyDescent="0.25">
      <c r="A57" s="263"/>
      <c r="B57" s="268" t="str">
        <f>+B21</f>
        <v>Net Pay Into Bank</v>
      </c>
      <c r="C57" s="269">
        <f>+C54-C56</f>
        <v>0</v>
      </c>
      <c r="D57" s="270">
        <f>+D54-D56</f>
        <v>0</v>
      </c>
      <c r="E57" s="271">
        <f>+D57-C57</f>
        <v>0</v>
      </c>
      <c r="F57" s="247"/>
      <c r="G57" s="310"/>
      <c r="H57" s="263"/>
      <c r="I57" s="268" t="str">
        <f>+I21</f>
        <v>Net Pay Into Bank</v>
      </c>
      <c r="J57" s="269">
        <f>+J54-J56</f>
        <v>0</v>
      </c>
      <c r="K57" s="270">
        <f>+K54-K56</f>
        <v>0</v>
      </c>
      <c r="L57" s="271">
        <f>+K57-J57</f>
        <v>0</v>
      </c>
      <c r="M57" s="247"/>
      <c r="Y57"/>
      <c r="Z57"/>
      <c r="AA57"/>
      <c r="AB57"/>
      <c r="AC57"/>
      <c r="AD57"/>
      <c r="AE57"/>
      <c r="AF57"/>
      <c r="AG57"/>
      <c r="AH57"/>
    </row>
    <row r="58" spans="1:34" x14ac:dyDescent="0.25">
      <c r="A58" s="263"/>
      <c r="B58" s="268"/>
      <c r="C58" s="278"/>
      <c r="D58" s="278"/>
      <c r="E58" s="279"/>
      <c r="F58" s="247"/>
      <c r="G58" s="310"/>
      <c r="H58" s="263"/>
      <c r="I58" s="268"/>
      <c r="J58" s="278"/>
      <c r="K58" s="278"/>
      <c r="L58" s="279"/>
      <c r="M58" s="247"/>
      <c r="Y58"/>
      <c r="Z58"/>
      <c r="AA58"/>
      <c r="AB58"/>
      <c r="AC58"/>
      <c r="AD58"/>
      <c r="AE58"/>
      <c r="AF58"/>
      <c r="AG58"/>
      <c r="AH58"/>
    </row>
    <row r="59" spans="1:34" x14ac:dyDescent="0.25">
      <c r="A59" s="242"/>
      <c r="B59" s="268" t="str">
        <f>+B23</f>
        <v>Super</v>
      </c>
      <c r="C59" s="269">
        <f>+C23*$CJ$18</f>
        <v>0</v>
      </c>
      <c r="D59" s="270">
        <f>+D23*$CJ$18</f>
        <v>0</v>
      </c>
      <c r="E59" s="271">
        <f>+D59-C59</f>
        <v>0</v>
      </c>
      <c r="F59" s="247"/>
      <c r="G59" s="310"/>
      <c r="H59" s="242"/>
      <c r="I59" s="268" t="str">
        <f>+I23</f>
        <v>Super</v>
      </c>
      <c r="J59" s="269">
        <f>+J23*$CJ$34</f>
        <v>0</v>
      </c>
      <c r="K59" s="270">
        <f>+K23*$CJ$34</f>
        <v>0</v>
      </c>
      <c r="L59" s="271">
        <f>+K59-J59</f>
        <v>0</v>
      </c>
      <c r="M59" s="247"/>
      <c r="Y59"/>
      <c r="Z59"/>
      <c r="AA59"/>
      <c r="AB59"/>
      <c r="AC59"/>
      <c r="AD59"/>
      <c r="AE59"/>
      <c r="AF59"/>
      <c r="AG59"/>
      <c r="AH59"/>
    </row>
    <row r="60" spans="1:34" x14ac:dyDescent="0.25">
      <c r="A60" s="282"/>
      <c r="B60" s="283"/>
      <c r="C60" s="283"/>
      <c r="D60" s="283"/>
      <c r="E60" s="284"/>
      <c r="F60" s="284"/>
      <c r="G60" s="312"/>
      <c r="H60" s="282"/>
      <c r="I60" s="283"/>
      <c r="J60" s="283"/>
      <c r="K60" s="283"/>
      <c r="L60" s="284"/>
      <c r="M60" s="284"/>
      <c r="Y60"/>
      <c r="Z60"/>
      <c r="AA60"/>
      <c r="AB60"/>
      <c r="AC60"/>
      <c r="AD60"/>
      <c r="AE60"/>
      <c r="AF60"/>
      <c r="AG60"/>
      <c r="AH60"/>
    </row>
    <row r="61" spans="1:34" x14ac:dyDescent="0.25">
      <c r="A61" s="236"/>
      <c r="B61" s="236"/>
      <c r="C61" s="236"/>
      <c r="D61" s="236"/>
      <c r="E61" s="262"/>
      <c r="F61" s="262"/>
      <c r="G61" s="79"/>
      <c r="H61" s="236"/>
      <c r="I61" s="236"/>
      <c r="J61" s="236"/>
      <c r="K61" s="236"/>
      <c r="L61" s="262"/>
      <c r="M61" s="262"/>
      <c r="Y61"/>
      <c r="Z61"/>
      <c r="AA61"/>
      <c r="AB61"/>
      <c r="AC61"/>
      <c r="AD61"/>
      <c r="AE61"/>
      <c r="AF61"/>
      <c r="AG61"/>
      <c r="AH61"/>
    </row>
    <row r="62" spans="1:34" x14ac:dyDescent="0.25">
      <c r="Y62"/>
      <c r="Z62"/>
      <c r="AA62"/>
      <c r="AB62"/>
      <c r="AC62"/>
      <c r="AD62"/>
      <c r="AE62"/>
      <c r="AF62"/>
      <c r="AG62"/>
      <c r="AH62"/>
    </row>
    <row r="75" spans="17:24" x14ac:dyDescent="0.25">
      <c r="Q75" s="300"/>
      <c r="R75" s="76"/>
      <c r="S75" s="76"/>
      <c r="T75" s="76"/>
      <c r="U75" s="76"/>
      <c r="V75" s="76"/>
      <c r="W75" s="239"/>
      <c r="X75" s="240"/>
    </row>
    <row r="76" spans="17:24" x14ac:dyDescent="0.25">
      <c r="Q76" s="301" t="s">
        <v>476</v>
      </c>
      <c r="R76" s="79" t="s">
        <v>479</v>
      </c>
      <c r="S76" s="79"/>
      <c r="T76" s="79"/>
      <c r="U76" s="79"/>
      <c r="V76" s="79"/>
      <c r="W76" s="302"/>
      <c r="X76" s="244"/>
    </row>
    <row r="77" spans="17:24" x14ac:dyDescent="0.25">
      <c r="Q77" s="301" t="s">
        <v>480</v>
      </c>
      <c r="R77" s="79" t="s">
        <v>481</v>
      </c>
      <c r="S77" s="79"/>
      <c r="T77" s="79"/>
      <c r="U77" s="79"/>
      <c r="V77" s="79"/>
      <c r="W77" s="302"/>
      <c r="X77" s="244"/>
    </row>
    <row r="78" spans="17:24" x14ac:dyDescent="0.25">
      <c r="Q78" s="301" t="s">
        <v>482</v>
      </c>
      <c r="R78" s="79" t="s">
        <v>483</v>
      </c>
      <c r="S78" s="79"/>
      <c r="T78" s="79"/>
      <c r="U78" s="79"/>
      <c r="V78" s="79"/>
      <c r="W78" s="302"/>
      <c r="X78" s="244"/>
    </row>
    <row r="79" spans="17:24" x14ac:dyDescent="0.25">
      <c r="Q79" s="303" t="s">
        <v>484</v>
      </c>
      <c r="R79" s="79" t="s">
        <v>485</v>
      </c>
      <c r="S79" s="79"/>
      <c r="T79" s="79"/>
      <c r="U79" s="79"/>
      <c r="V79" s="79"/>
      <c r="W79" s="302"/>
      <c r="X79" s="244"/>
    </row>
    <row r="80" spans="17:24" x14ac:dyDescent="0.25">
      <c r="R80" s="78" t="s">
        <v>486</v>
      </c>
      <c r="S80" s="79"/>
      <c r="T80" s="79"/>
      <c r="U80" s="79"/>
      <c r="V80" s="79"/>
      <c r="W80" s="302"/>
      <c r="X80" s="244"/>
    </row>
    <row r="81" spans="18:24" x14ac:dyDescent="0.25">
      <c r="R81" s="78" t="s">
        <v>487</v>
      </c>
      <c r="S81" s="79"/>
      <c r="T81" s="79"/>
      <c r="U81" s="79"/>
      <c r="V81" s="79"/>
      <c r="W81" s="302"/>
      <c r="X81" s="244"/>
    </row>
    <row r="82" spans="18:24" x14ac:dyDescent="0.25">
      <c r="R82" s="78" t="s">
        <v>488</v>
      </c>
      <c r="S82" s="79"/>
      <c r="T82" s="79"/>
      <c r="U82" s="79"/>
      <c r="V82" s="79"/>
      <c r="W82" s="302"/>
      <c r="X82" s="244"/>
    </row>
    <row r="83" spans="18:24" x14ac:dyDescent="0.25">
      <c r="R83" s="78"/>
      <c r="S83" s="79"/>
      <c r="T83" s="79"/>
      <c r="U83" s="79"/>
      <c r="V83" s="79"/>
      <c r="W83" s="302"/>
      <c r="X83" s="244"/>
    </row>
    <row r="84" spans="18:24" x14ac:dyDescent="0.25">
      <c r="R84" s="88"/>
      <c r="S84" s="89"/>
      <c r="T84" s="89"/>
      <c r="U84" s="89"/>
      <c r="V84" s="89"/>
      <c r="W84" s="296"/>
      <c r="X84" s="285"/>
    </row>
  </sheetData>
  <mergeCells count="38">
    <mergeCell ref="B7:C7"/>
    <mergeCell ref="D7:E7"/>
    <mergeCell ref="B8:C8"/>
    <mergeCell ref="D8:E8"/>
    <mergeCell ref="CL16:CN16"/>
    <mergeCell ref="I7:J7"/>
    <mergeCell ref="K7:L7"/>
    <mergeCell ref="I8:J8"/>
    <mergeCell ref="K8:L8"/>
    <mergeCell ref="C28:E28"/>
    <mergeCell ref="C29:E29"/>
    <mergeCell ref="A31:F31"/>
    <mergeCell ref="A32:C32"/>
    <mergeCell ref="D32:F32"/>
    <mergeCell ref="A36:C36"/>
    <mergeCell ref="D36:F36"/>
    <mergeCell ref="CL32:CN32"/>
    <mergeCell ref="K32:M32"/>
    <mergeCell ref="A33:C33"/>
    <mergeCell ref="D33:E33"/>
    <mergeCell ref="A34:C34"/>
    <mergeCell ref="D34:E34"/>
    <mergeCell ref="J28:L28"/>
    <mergeCell ref="I48:L48"/>
    <mergeCell ref="H38:J38"/>
    <mergeCell ref="B48:E48"/>
    <mergeCell ref="J29:L29"/>
    <mergeCell ref="H31:M31"/>
    <mergeCell ref="H32:J32"/>
    <mergeCell ref="K34:L34"/>
    <mergeCell ref="H33:J33"/>
    <mergeCell ref="K33:L33"/>
    <mergeCell ref="H34:J34"/>
    <mergeCell ref="H35:J35"/>
    <mergeCell ref="H36:J36"/>
    <mergeCell ref="K36:M36"/>
    <mergeCell ref="A38:C38"/>
    <mergeCell ref="A35:C35"/>
  </mergeCells>
  <conditionalFormatting sqref="M33:M35">
    <cfRule type="iconSet" priority="299">
      <iconSet iconSet="3Symbols2" showValue="0">
        <cfvo type="percent" val="0"/>
        <cfvo type="percent" val="33"/>
        <cfvo type="percent" val="67"/>
      </iconSet>
    </cfRule>
  </conditionalFormatting>
  <conditionalFormatting sqref="F33:F35">
    <cfRule type="iconSet" priority="300">
      <iconSet iconSet="3Symbols2" showValue="0">
        <cfvo type="percent" val="0"/>
        <cfvo type="percent" val="33"/>
        <cfvo type="percent" val="67"/>
      </iconSet>
    </cfRule>
  </conditionalFormatting>
  <dataValidations count="1">
    <dataValidation type="list" allowBlank="1" showInputMessage="1" showErrorMessage="1" sqref="C12:D12 F12:G12 M12 J12:K12">
      <formula1>$CI$19:$CI$23</formula1>
    </dataValidation>
  </dataValidations>
  <pageMargins left="0.23622047244094491" right="0.23622047244094491" top="0.74803149606299213" bottom="0.74803149606299213" header="0.31496062992125984" footer="0"/>
  <pageSetup paperSize="9" fitToWidth="2" orientation="portrait" horizontalDpi="4294967295" verticalDpi="4294967295" r:id="rId1"/>
  <headerFooter alignWithMargins="0">
    <oddHeader>&amp;C&amp;G</oddHeader>
  </headerFooter>
  <colBreaks count="1" manualBreakCount="1">
    <brk id="7" max="38" man="1"/>
  </colBreaks>
  <drawing r:id="rId2"/>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44"/>
  <sheetViews>
    <sheetView showGridLines="0" showRuler="0" zoomScaleNormal="100" workbookViewId="0">
      <selection activeCell="M29" sqref="M29"/>
    </sheetView>
  </sheetViews>
  <sheetFormatPr defaultColWidth="3.5703125" defaultRowHeight="18.75" customHeight="1" x14ac:dyDescent="0.25"/>
  <cols>
    <col min="1" max="7" width="3.5703125" style="21"/>
    <col min="8" max="8" width="3.5703125" style="21" customWidth="1"/>
    <col min="9" max="9" width="3.5703125" style="21"/>
    <col min="10" max="10" width="3.7109375" style="21" customWidth="1"/>
    <col min="11" max="11" width="3.7109375" style="21" bestFit="1" customWidth="1"/>
    <col min="12" max="15" width="3.5703125" style="21"/>
    <col min="16" max="16" width="3.5703125" style="23"/>
    <col min="17" max="19" width="3.5703125" style="21"/>
    <col min="20" max="20" width="3.5703125" style="21" customWidth="1"/>
    <col min="21" max="26" width="3.5703125" style="21"/>
    <col min="27" max="27" width="2.140625" style="21" customWidth="1"/>
    <col min="28" max="28" width="2.140625" style="129" customWidth="1"/>
    <col min="29" max="29" width="10.140625" style="129" bestFit="1" customWidth="1"/>
    <col min="30" max="30" width="10.140625" style="129" customWidth="1"/>
    <col min="31" max="32" width="5.28515625" style="129" customWidth="1"/>
    <col min="33" max="34" width="1.7109375" style="129" customWidth="1"/>
    <col min="35" max="35" width="1.28515625" style="129" customWidth="1"/>
    <col min="36" max="36" width="5.28515625" style="129" customWidth="1"/>
    <col min="37" max="38" width="1.7109375" style="129" customWidth="1"/>
    <col min="39" max="40" width="5.28515625" style="129" customWidth="1"/>
    <col min="41" max="41" width="5.42578125" style="129" customWidth="1"/>
    <col min="42" max="42" width="7.140625" style="129" customWidth="1"/>
    <col min="43" max="43" width="45.28515625" style="129" customWidth="1"/>
    <col min="44" max="44" width="24" style="129" customWidth="1"/>
    <col min="45" max="45" width="18.7109375" style="129" customWidth="1"/>
    <col min="46" max="47" width="10.5703125" style="94" customWidth="1"/>
    <col min="48" max="48" width="8" style="94" customWidth="1"/>
    <col min="49" max="49" width="5.5703125" style="94" customWidth="1"/>
    <col min="50" max="50" width="8.5703125" style="94" customWidth="1"/>
    <col min="51" max="62" width="3.5703125" style="94" customWidth="1"/>
    <col min="63" max="67" width="3.5703125" style="129" customWidth="1"/>
    <col min="68" max="68" width="2" style="129" customWidth="1"/>
    <col min="69" max="69" width="7.5703125" style="129" customWidth="1"/>
    <col min="70" max="70" width="8.5703125" style="129" customWidth="1"/>
    <col min="71" max="71" width="7" style="129" customWidth="1"/>
    <col min="72" max="72" width="8.5703125" style="129" customWidth="1"/>
    <col min="73" max="76" width="3.5703125" style="129" customWidth="1"/>
    <col min="77" max="77" width="9.28515625" style="129" customWidth="1"/>
    <col min="78" max="78" width="3.5703125" style="129" customWidth="1"/>
    <col min="79" max="81" width="8.28515625" style="129" customWidth="1"/>
    <col min="82" max="84" width="3.5703125" style="129" customWidth="1"/>
    <col min="85" max="86" width="3.5703125" style="21" customWidth="1"/>
    <col min="87" max="87" width="12" style="21" customWidth="1"/>
    <col min="88" max="88" width="7.5703125" style="21" customWidth="1"/>
    <col min="89" max="89" width="3.5703125" style="21" customWidth="1"/>
    <col min="90" max="90" width="7.5703125" style="21" customWidth="1"/>
    <col min="91" max="91" width="3.5703125" style="21" customWidth="1"/>
    <col min="92" max="92" width="8" style="21" customWidth="1"/>
    <col min="93" max="120" width="3.5703125" style="21" customWidth="1"/>
    <col min="121" max="155" width="3.5703125" style="326"/>
    <col min="156" max="16384" width="3.5703125" style="21"/>
  </cols>
  <sheetData>
    <row r="1" spans="1:155" ht="48" customHeight="1" x14ac:dyDescent="0.25">
      <c r="A1" s="1622" t="s">
        <v>937</v>
      </c>
      <c r="B1" s="1622"/>
      <c r="C1" s="1622"/>
      <c r="D1" s="1622"/>
      <c r="E1" s="1622"/>
      <c r="F1" s="1622"/>
      <c r="G1" s="1622"/>
      <c r="H1" s="1622"/>
      <c r="I1" s="1622"/>
      <c r="J1" s="1622"/>
      <c r="K1" s="1622"/>
      <c r="L1" s="1622"/>
      <c r="M1" s="1622"/>
      <c r="N1" s="1622"/>
      <c r="O1" s="1622"/>
      <c r="P1" s="2202"/>
      <c r="Q1" s="2202"/>
      <c r="R1" s="2202"/>
      <c r="S1" s="2202"/>
      <c r="T1" s="2202"/>
      <c r="U1" s="2202"/>
      <c r="V1" s="2202"/>
      <c r="W1" s="1035"/>
      <c r="X1" s="1035"/>
      <c r="Y1" s="1035"/>
      <c r="Z1" s="1035"/>
      <c r="CI1" s="573"/>
    </row>
    <row r="2" spans="1:155" s="27" customFormat="1" ht="8.65"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B2" s="153"/>
      <c r="AC2" s="153"/>
      <c r="AD2" s="153"/>
      <c r="AE2" s="153"/>
      <c r="AF2" s="153"/>
      <c r="AG2" s="153"/>
      <c r="AH2" s="153"/>
      <c r="AI2" s="153"/>
      <c r="AJ2" s="153"/>
      <c r="AK2" s="153"/>
      <c r="AL2" s="153"/>
      <c r="AM2" s="153"/>
      <c r="AN2" s="153"/>
      <c r="AO2" s="153"/>
      <c r="AP2" s="153"/>
      <c r="AQ2" s="153"/>
      <c r="AR2" s="153"/>
      <c r="AS2" s="153"/>
      <c r="AT2" s="999"/>
      <c r="AU2" s="999"/>
      <c r="AV2" s="999"/>
      <c r="AW2" s="999"/>
      <c r="AX2" s="999"/>
      <c r="AY2" s="999"/>
      <c r="AZ2" s="999"/>
      <c r="BA2" s="999"/>
      <c r="BB2" s="999"/>
      <c r="BC2" s="999"/>
      <c r="BD2" s="999"/>
      <c r="BE2" s="999"/>
      <c r="BF2" s="999"/>
      <c r="BG2" s="999"/>
      <c r="BH2" s="999"/>
      <c r="BI2" s="999"/>
      <c r="BJ2" s="999"/>
      <c r="BK2" s="153"/>
      <c r="BL2" s="153"/>
      <c r="BM2" s="153"/>
      <c r="BN2" s="153"/>
      <c r="BO2" s="153"/>
      <c r="BP2" s="153"/>
      <c r="BQ2" s="153"/>
      <c r="BR2" s="153"/>
      <c r="BS2" s="153"/>
      <c r="BT2" s="153"/>
      <c r="BU2" s="153"/>
      <c r="BV2" s="153"/>
      <c r="BW2" s="153"/>
      <c r="BX2" s="153"/>
      <c r="BY2" s="153"/>
      <c r="BZ2" s="153"/>
      <c r="CA2" s="153"/>
      <c r="CB2" s="153"/>
      <c r="CC2" s="153"/>
      <c r="CD2" s="153"/>
      <c r="CE2" s="153"/>
      <c r="CF2" s="153"/>
      <c r="CI2" s="604"/>
      <c r="DQ2" s="712"/>
      <c r="DR2" s="712"/>
      <c r="DS2" s="712"/>
      <c r="DT2" s="712"/>
      <c r="DU2" s="712"/>
      <c r="DV2" s="712"/>
      <c r="DW2" s="712"/>
      <c r="DX2" s="712"/>
      <c r="DY2" s="712"/>
      <c r="DZ2" s="712"/>
      <c r="EA2" s="712"/>
      <c r="EB2" s="712"/>
      <c r="EC2" s="712"/>
      <c r="ED2" s="712"/>
      <c r="EE2" s="712"/>
      <c r="EF2" s="712"/>
      <c r="EG2" s="712"/>
      <c r="EH2" s="712"/>
      <c r="EI2" s="712"/>
      <c r="EJ2" s="712"/>
      <c r="EK2" s="712"/>
      <c r="EL2" s="712"/>
      <c r="EM2" s="712"/>
      <c r="EN2" s="712"/>
      <c r="EO2" s="712"/>
      <c r="EP2" s="712"/>
      <c r="EQ2" s="712"/>
      <c r="ER2" s="712"/>
      <c r="ES2" s="712"/>
      <c r="ET2" s="712"/>
      <c r="EU2" s="712"/>
      <c r="EV2" s="712"/>
      <c r="EW2" s="712"/>
      <c r="EX2" s="712"/>
      <c r="EY2" s="712"/>
    </row>
    <row r="3" spans="1:155" s="1" customFormat="1" ht="14.65" customHeight="1" x14ac:dyDescent="0.25">
      <c r="A3" s="1724" t="s">
        <v>669</v>
      </c>
      <c r="B3" s="1724"/>
      <c r="C3" s="1724"/>
      <c r="D3" s="1724"/>
      <c r="E3" s="1724"/>
      <c r="F3" s="687"/>
      <c r="G3" s="1726" t="str">
        <f>+Funding!G3</f>
        <v xml:space="preserve"> </v>
      </c>
      <c r="H3" s="1726"/>
      <c r="I3" s="1726"/>
      <c r="J3" s="1726"/>
      <c r="K3" s="1726"/>
      <c r="L3" s="1726"/>
      <c r="M3" s="1726"/>
      <c r="N3" s="1726"/>
      <c r="O3" s="1726"/>
      <c r="P3" s="1726"/>
      <c r="Q3" s="1726"/>
      <c r="R3" s="1724" t="s">
        <v>1022</v>
      </c>
      <c r="S3" s="1724"/>
      <c r="T3" s="1724"/>
      <c r="U3" s="1724"/>
      <c r="V3" s="2220">
        <f>+P31</f>
        <v>750000</v>
      </c>
      <c r="W3" s="2220"/>
      <c r="X3" s="2220"/>
      <c r="Y3" s="1033"/>
      <c r="Z3" s="1033"/>
      <c r="AB3" s="131"/>
      <c r="AC3" s="131"/>
      <c r="AD3" s="131"/>
      <c r="AE3" s="131"/>
      <c r="AF3" s="131"/>
      <c r="AG3" s="131"/>
      <c r="AH3" s="131"/>
      <c r="AI3" s="131"/>
      <c r="AJ3" s="131"/>
      <c r="AK3" s="131"/>
      <c r="AL3" s="131"/>
      <c r="AM3" s="131"/>
      <c r="AN3" s="131"/>
      <c r="AO3" s="131"/>
      <c r="AP3" s="131"/>
      <c r="AQ3" s="131"/>
      <c r="AR3" s="131"/>
      <c r="AS3" s="131"/>
      <c r="AT3" s="135"/>
      <c r="AU3" s="135"/>
      <c r="AV3" s="135"/>
      <c r="AW3" s="135"/>
      <c r="AX3" s="135"/>
      <c r="AY3" s="135"/>
      <c r="AZ3" s="135"/>
      <c r="BA3" s="135"/>
      <c r="BB3" s="135"/>
      <c r="BC3" s="135"/>
      <c r="BD3" s="135"/>
      <c r="BE3" s="135"/>
      <c r="BF3" s="135"/>
      <c r="BG3" s="135"/>
      <c r="BH3" s="135"/>
      <c r="BI3" s="135"/>
      <c r="BJ3" s="135"/>
      <c r="BK3" s="131"/>
      <c r="BL3" s="131"/>
      <c r="BM3" s="131"/>
      <c r="BN3" s="131"/>
      <c r="BO3" s="131"/>
      <c r="BP3" s="131"/>
      <c r="BQ3" s="131"/>
      <c r="BR3" s="131"/>
      <c r="BS3" s="131"/>
      <c r="BT3" s="131"/>
      <c r="BU3" s="131"/>
      <c r="BV3" s="131"/>
      <c r="BW3" s="131"/>
      <c r="BX3" s="131"/>
      <c r="BY3" s="131"/>
      <c r="BZ3" s="131"/>
      <c r="CA3" s="131"/>
      <c r="CB3" s="131"/>
      <c r="CC3" s="131"/>
      <c r="CD3" s="131"/>
      <c r="CE3" s="131"/>
      <c r="CF3" s="131"/>
      <c r="CI3" s="605"/>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c r="EO3" s="354"/>
      <c r="EP3" s="354"/>
      <c r="EQ3" s="354"/>
      <c r="ER3" s="354"/>
      <c r="ES3" s="354"/>
      <c r="ET3" s="354"/>
      <c r="EU3" s="354"/>
      <c r="EV3" s="354"/>
      <c r="EW3" s="354"/>
      <c r="EX3" s="354"/>
      <c r="EY3" s="354"/>
    </row>
    <row r="4" spans="1:155" s="1" customFormat="1" ht="14.65" customHeight="1" x14ac:dyDescent="0.25">
      <c r="A4" s="1724" t="s">
        <v>1009</v>
      </c>
      <c r="B4" s="1724"/>
      <c r="C4" s="1724"/>
      <c r="D4" s="1724"/>
      <c r="E4" s="1724"/>
      <c r="F4" s="687"/>
      <c r="G4" s="1725">
        <f>+G28</f>
        <v>0</v>
      </c>
      <c r="H4" s="1725"/>
      <c r="I4" s="1725"/>
      <c r="J4" s="688"/>
      <c r="K4" s="688"/>
      <c r="L4" s="688"/>
      <c r="M4" s="688"/>
      <c r="N4" s="688"/>
      <c r="O4" s="688"/>
      <c r="P4" s="688"/>
      <c r="Q4" s="688"/>
      <c r="R4" s="1724" t="s">
        <v>1023</v>
      </c>
      <c r="S4" s="1724"/>
      <c r="T4" s="1724"/>
      <c r="U4" s="1724"/>
      <c r="V4" s="2220" t="e">
        <f>+Funding!P25-Construction!V3</f>
        <v>#VALUE!</v>
      </c>
      <c r="W4" s="2220"/>
      <c r="X4" s="2220"/>
      <c r="Y4" s="1032"/>
      <c r="Z4" s="1032"/>
      <c r="AB4" s="131"/>
      <c r="AC4" s="131"/>
      <c r="AD4" s="131"/>
      <c r="AE4" s="131"/>
      <c r="AF4" s="131"/>
      <c r="AG4" s="131"/>
      <c r="AH4" s="131"/>
      <c r="AI4" s="131"/>
      <c r="AJ4" s="131"/>
      <c r="AK4" s="131"/>
      <c r="AL4" s="131"/>
      <c r="AM4" s="131"/>
      <c r="AN4" s="131"/>
      <c r="AO4" s="131"/>
      <c r="AP4" s="131"/>
      <c r="AQ4" s="131"/>
      <c r="AR4" s="131"/>
      <c r="AS4" s="131"/>
      <c r="AT4" s="135"/>
      <c r="AU4" s="135"/>
      <c r="AV4" s="135"/>
      <c r="AW4" s="135"/>
      <c r="AX4" s="135"/>
      <c r="AY4" s="135"/>
      <c r="AZ4" s="135"/>
      <c r="BA4" s="135"/>
      <c r="BB4" s="135"/>
      <c r="BC4" s="135"/>
      <c r="BD4" s="135"/>
      <c r="BE4" s="135"/>
      <c r="BF4" s="135"/>
      <c r="BG4" s="135"/>
      <c r="BH4" s="135"/>
      <c r="BI4" s="135"/>
      <c r="BJ4" s="135"/>
      <c r="BK4" s="131"/>
      <c r="BL4" s="131"/>
      <c r="BM4" s="131"/>
      <c r="BN4" s="131"/>
      <c r="BO4" s="131"/>
      <c r="BP4" s="131"/>
      <c r="BQ4" s="131"/>
      <c r="BR4" s="131"/>
      <c r="BS4" s="131"/>
      <c r="BT4" s="131"/>
      <c r="BU4" s="131"/>
      <c r="BV4" s="131"/>
      <c r="BW4" s="131"/>
      <c r="BX4" s="131"/>
      <c r="BY4" s="131"/>
      <c r="BZ4" s="131"/>
      <c r="CA4" s="131"/>
      <c r="CB4" s="131"/>
      <c r="CC4" s="131"/>
      <c r="CD4" s="131"/>
      <c r="CE4" s="131"/>
      <c r="CF4" s="131"/>
      <c r="CI4" s="605"/>
      <c r="DQ4" s="354"/>
      <c r="DR4" s="354"/>
      <c r="DS4" s="354"/>
      <c r="DT4" s="354"/>
      <c r="DU4" s="354"/>
      <c r="DV4" s="354"/>
      <c r="DW4" s="354"/>
      <c r="DX4" s="354"/>
      <c r="DY4" s="354"/>
      <c r="DZ4" s="354"/>
      <c r="EA4" s="354"/>
      <c r="EB4" s="354"/>
      <c r="EC4" s="354"/>
      <c r="ED4" s="354"/>
      <c r="EE4" s="354"/>
      <c r="EF4" s="354"/>
      <c r="EG4" s="354"/>
      <c r="EH4" s="354"/>
      <c r="EI4" s="354"/>
      <c r="EJ4" s="354"/>
      <c r="EK4" s="354"/>
      <c r="EL4" s="354"/>
      <c r="EM4" s="354"/>
      <c r="EN4" s="354"/>
      <c r="EO4" s="354"/>
      <c r="EP4" s="354"/>
      <c r="EQ4" s="354"/>
      <c r="ER4" s="354"/>
      <c r="ES4" s="354"/>
      <c r="ET4" s="354"/>
      <c r="EU4" s="354"/>
      <c r="EV4" s="354"/>
      <c r="EW4" s="354"/>
      <c r="EX4" s="354"/>
      <c r="EY4" s="354"/>
    </row>
    <row r="5" spans="1:155" s="27" customFormat="1" ht="8.1" customHeight="1" x14ac:dyDescent="0.25">
      <c r="A5" s="689"/>
      <c r="B5" s="689"/>
      <c r="C5" s="689"/>
      <c r="D5" s="689"/>
      <c r="E5" s="689"/>
      <c r="F5" s="689"/>
      <c r="G5" s="689"/>
      <c r="H5" s="994"/>
      <c r="I5" s="994"/>
      <c r="J5" s="689"/>
      <c r="K5" s="689"/>
      <c r="L5" s="689"/>
      <c r="M5" s="689"/>
      <c r="N5" s="689"/>
      <c r="O5" s="689"/>
      <c r="P5" s="689"/>
      <c r="Q5" s="689"/>
      <c r="R5" s="689"/>
      <c r="S5" s="689"/>
      <c r="T5" s="689"/>
      <c r="U5" s="689"/>
      <c r="V5" s="2220"/>
      <c r="W5" s="2220"/>
      <c r="X5" s="2220"/>
      <c r="Y5" s="1032"/>
      <c r="Z5" s="1032"/>
      <c r="AB5" s="153"/>
      <c r="AC5" s="153"/>
      <c r="AD5" s="153"/>
      <c r="AE5" s="153"/>
      <c r="AF5" s="153"/>
      <c r="AG5" s="153"/>
      <c r="AH5" s="153"/>
      <c r="AI5" s="153"/>
      <c r="AJ5" s="153"/>
      <c r="AK5" s="153"/>
      <c r="AL5" s="153"/>
      <c r="AM5" s="153"/>
      <c r="AN5" s="153"/>
      <c r="AO5" s="153"/>
      <c r="AP5" s="153"/>
      <c r="AQ5" s="153"/>
      <c r="AR5" s="153"/>
      <c r="AS5" s="153"/>
      <c r="AT5" s="999"/>
      <c r="AU5" s="999"/>
      <c r="AV5" s="999"/>
      <c r="AW5" s="999"/>
      <c r="AX5" s="999"/>
      <c r="AY5" s="999"/>
      <c r="AZ5" s="999"/>
      <c r="BA5" s="999"/>
      <c r="BB5" s="999"/>
      <c r="BC5" s="999"/>
      <c r="BD5" s="999"/>
      <c r="BE5" s="999"/>
      <c r="BF5" s="999"/>
      <c r="BG5" s="999"/>
      <c r="BH5" s="999"/>
      <c r="BI5" s="999"/>
      <c r="BJ5" s="999"/>
      <c r="BK5" s="153"/>
      <c r="BL5" s="153"/>
      <c r="BM5" s="153"/>
      <c r="BN5" s="153"/>
      <c r="BO5" s="153"/>
      <c r="BP5" s="153"/>
      <c r="BQ5" s="153"/>
      <c r="BR5" s="153"/>
      <c r="BS5" s="153"/>
      <c r="BT5" s="153"/>
      <c r="BU5" s="153"/>
      <c r="BV5" s="153"/>
      <c r="BW5" s="153"/>
      <c r="BX5" s="153"/>
      <c r="BY5" s="153"/>
      <c r="BZ5" s="153"/>
      <c r="CA5" s="153"/>
      <c r="CB5" s="153"/>
      <c r="CC5" s="153"/>
      <c r="CD5" s="153"/>
      <c r="CE5" s="153"/>
      <c r="CF5" s="153"/>
      <c r="CI5" s="604"/>
      <c r="DQ5" s="712"/>
      <c r="DR5" s="712"/>
      <c r="DS5" s="712"/>
      <c r="DT5" s="712"/>
      <c r="DU5" s="712"/>
      <c r="DV5" s="712"/>
      <c r="DW5" s="712"/>
      <c r="DX5" s="712"/>
      <c r="DY5" s="712"/>
      <c r="DZ5" s="712"/>
      <c r="EA5" s="712"/>
      <c r="EB5" s="712"/>
      <c r="EC5" s="712"/>
      <c r="ED5" s="712"/>
      <c r="EE5" s="712"/>
      <c r="EF5" s="712"/>
      <c r="EG5" s="712"/>
      <c r="EH5" s="712"/>
      <c r="EI5" s="712"/>
      <c r="EJ5" s="712"/>
      <c r="EK5" s="712"/>
      <c r="EL5" s="712"/>
      <c r="EM5" s="712"/>
      <c r="EN5" s="712"/>
      <c r="EO5" s="712"/>
      <c r="EP5" s="712"/>
      <c r="EQ5" s="712"/>
      <c r="ER5" s="712"/>
      <c r="ES5" s="712"/>
      <c r="ET5" s="712"/>
      <c r="EU5" s="712"/>
      <c r="EV5" s="712"/>
      <c r="EW5" s="712"/>
      <c r="EX5" s="712"/>
      <c r="EY5" s="712"/>
    </row>
    <row r="6" spans="1:155" s="1" customFormat="1" ht="12.75" customHeight="1" x14ac:dyDescent="0.25">
      <c r="A6" s="1722" t="s">
        <v>1021</v>
      </c>
      <c r="B6" s="1722"/>
      <c r="C6" s="1722"/>
      <c r="D6" s="1722"/>
      <c r="E6" s="1722"/>
      <c r="F6" s="1722"/>
      <c r="G6" s="1722"/>
      <c r="H6" s="1722"/>
      <c r="I6" s="1722"/>
      <c r="J6" s="1722"/>
      <c r="K6" s="1722"/>
      <c r="L6" s="1722"/>
      <c r="M6" s="1722"/>
      <c r="N6" s="1722"/>
      <c r="O6" s="1722"/>
      <c r="P6" s="1722"/>
      <c r="Q6" s="1722"/>
      <c r="R6" s="1724" t="s">
        <v>1024</v>
      </c>
      <c r="S6" s="1724"/>
      <c r="T6" s="1724"/>
      <c r="U6" s="1724"/>
      <c r="V6" s="2221" t="e">
        <f>+SUM(V3:X4)/G4</f>
        <v>#VALUE!</v>
      </c>
      <c r="W6" s="2221"/>
      <c r="X6" s="2221"/>
      <c r="Y6" s="1032"/>
      <c r="Z6" s="1032"/>
      <c r="AB6" s="131"/>
      <c r="AC6" s="131"/>
      <c r="AD6" s="131"/>
      <c r="AE6" s="131"/>
      <c r="AF6" s="131"/>
      <c r="AG6" s="131"/>
      <c r="AH6" s="131"/>
      <c r="AI6" s="131"/>
      <c r="AJ6" s="131"/>
      <c r="AK6" s="131"/>
      <c r="AL6" s="131"/>
      <c r="AM6" s="131"/>
      <c r="AN6" s="131"/>
      <c r="AO6" s="131"/>
      <c r="AP6" s="131"/>
      <c r="AQ6" s="131"/>
      <c r="AR6" s="131"/>
      <c r="AS6" s="131"/>
      <c r="AT6" s="135"/>
      <c r="AU6" s="135"/>
      <c r="AV6" s="135"/>
      <c r="AW6" s="135"/>
      <c r="AX6" s="135"/>
      <c r="AY6" s="135"/>
      <c r="AZ6" s="135"/>
      <c r="BA6" s="135"/>
      <c r="BB6" s="135"/>
      <c r="BC6" s="135"/>
      <c r="BD6" s="135"/>
      <c r="BE6" s="135"/>
      <c r="BF6" s="135"/>
      <c r="BG6" s="135"/>
      <c r="BH6" s="135"/>
      <c r="BI6" s="135"/>
      <c r="BJ6" s="135"/>
      <c r="BK6" s="131"/>
      <c r="BL6" s="131"/>
      <c r="BM6" s="131"/>
      <c r="BN6" s="131"/>
      <c r="BO6" s="131"/>
      <c r="BP6" s="131"/>
      <c r="BQ6" s="131"/>
      <c r="BR6" s="131"/>
      <c r="BS6" s="131"/>
      <c r="BT6" s="131"/>
      <c r="BU6" s="131"/>
      <c r="BV6" s="131"/>
      <c r="BW6" s="131"/>
      <c r="BX6" s="131"/>
      <c r="BY6" s="131"/>
      <c r="BZ6" s="131"/>
      <c r="CA6" s="131"/>
      <c r="CB6" s="131"/>
      <c r="CC6" s="131"/>
      <c r="CD6" s="131"/>
      <c r="CE6" s="131"/>
      <c r="CF6" s="131"/>
      <c r="CI6" s="605"/>
      <c r="DQ6" s="354"/>
      <c r="DR6" s="354"/>
      <c r="DS6" s="354"/>
      <c r="DT6" s="354"/>
      <c r="DU6" s="354"/>
      <c r="DV6" s="354"/>
      <c r="DW6" s="354"/>
      <c r="DX6" s="354"/>
      <c r="DY6" s="354"/>
      <c r="DZ6" s="354"/>
      <c r="EA6" s="354"/>
      <c r="EB6" s="354"/>
      <c r="EC6" s="354"/>
      <c r="ED6" s="354"/>
      <c r="EE6" s="354"/>
      <c r="EF6" s="354"/>
      <c r="EG6" s="354"/>
      <c r="EH6" s="354"/>
      <c r="EI6" s="354"/>
      <c r="EJ6" s="354"/>
      <c r="EK6" s="354"/>
      <c r="EL6" s="354"/>
      <c r="EM6" s="354"/>
      <c r="EN6" s="354"/>
      <c r="EO6" s="354"/>
      <c r="EP6" s="354"/>
      <c r="EQ6" s="354"/>
      <c r="ER6" s="354"/>
      <c r="ES6" s="354"/>
      <c r="ET6" s="354"/>
      <c r="EU6" s="354"/>
      <c r="EV6" s="354"/>
      <c r="EW6" s="354"/>
      <c r="EX6" s="354"/>
      <c r="EY6" s="354"/>
    </row>
    <row r="7" spans="1:155" s="1" customFormat="1" ht="26.25" x14ac:dyDescent="0.2">
      <c r="A7" s="1718" t="s">
        <v>287</v>
      </c>
      <c r="B7" s="1718"/>
      <c r="C7" s="1718"/>
      <c r="D7" s="1718"/>
      <c r="E7" s="1718"/>
      <c r="F7" s="1718"/>
      <c r="G7" s="1718"/>
      <c r="H7" s="1718"/>
      <c r="I7" s="1718"/>
      <c r="J7" s="995"/>
      <c r="K7" s="995"/>
      <c r="L7" s="995"/>
      <c r="M7" s="995"/>
      <c r="N7" s="995"/>
      <c r="O7" s="995"/>
      <c r="P7" s="995"/>
      <c r="Q7" s="995"/>
      <c r="R7" s="995"/>
      <c r="S7" s="995"/>
      <c r="T7" s="1742"/>
      <c r="U7" s="1742"/>
      <c r="V7" s="1742"/>
      <c r="W7" s="1742"/>
      <c r="X7" s="2186"/>
      <c r="Y7" s="2186"/>
      <c r="Z7" s="997"/>
      <c r="AA7" s="101"/>
      <c r="AB7" s="141"/>
      <c r="AC7" s="969"/>
      <c r="AD7" s="223"/>
      <c r="AE7" s="223"/>
      <c r="AF7" s="223"/>
      <c r="AG7" s="223"/>
      <c r="AH7" s="223"/>
      <c r="AI7" s="223"/>
      <c r="AJ7" s="223"/>
      <c r="AK7" s="223"/>
      <c r="AL7" s="223"/>
      <c r="AM7" s="223"/>
      <c r="AN7" s="223"/>
      <c r="AO7" s="223"/>
      <c r="AP7" s="223"/>
      <c r="AQ7" s="223"/>
      <c r="AR7" s="131"/>
      <c r="AS7" s="131"/>
      <c r="AT7" s="135"/>
      <c r="AU7" s="135"/>
      <c r="AV7" s="135"/>
      <c r="AW7" s="135"/>
      <c r="AX7" s="135"/>
      <c r="AY7" s="135"/>
      <c r="AZ7" s="1002"/>
      <c r="BA7" s="1002"/>
      <c r="BB7" s="1002"/>
      <c r="BC7" s="1002"/>
      <c r="BD7" s="1002"/>
      <c r="BE7" s="1002"/>
      <c r="BF7" s="1002"/>
      <c r="BG7" s="1002"/>
      <c r="BH7" s="1002"/>
      <c r="BI7" s="1002"/>
      <c r="BJ7" s="1002"/>
      <c r="BK7" s="1002"/>
      <c r="BL7" s="1002"/>
      <c r="BM7" s="1002"/>
      <c r="BN7" s="1002"/>
      <c r="BO7" s="1002"/>
      <c r="BP7" s="131"/>
      <c r="BQ7" s="131"/>
      <c r="BR7" s="131"/>
      <c r="BS7" s="131"/>
      <c r="BT7" s="131"/>
      <c r="BU7" s="131"/>
      <c r="BV7" s="131"/>
      <c r="BW7" s="131"/>
      <c r="BX7" s="131"/>
      <c r="BY7" s="131"/>
      <c r="BZ7" s="131"/>
      <c r="CA7" s="131"/>
      <c r="CB7" s="131"/>
      <c r="CC7" s="131"/>
      <c r="CD7" s="131"/>
      <c r="CE7" s="131"/>
      <c r="CF7" s="131"/>
      <c r="CI7" s="421"/>
      <c r="CJ7" s="606"/>
      <c r="CL7" s="606"/>
      <c r="DQ7" s="354"/>
      <c r="DR7" s="354"/>
      <c r="DS7" s="354"/>
      <c r="DT7" s="354"/>
      <c r="DU7" s="354"/>
      <c r="DV7" s="354"/>
      <c r="DW7" s="354"/>
      <c r="DX7" s="354"/>
      <c r="DY7" s="354"/>
      <c r="DZ7" s="354"/>
      <c r="EA7" s="354"/>
      <c r="EB7" s="354"/>
      <c r="EC7" s="354"/>
      <c r="ED7" s="354"/>
      <c r="EE7" s="354"/>
      <c r="EF7" s="354"/>
      <c r="EG7" s="354"/>
      <c r="EH7" s="354"/>
      <c r="EI7" s="354"/>
      <c r="EJ7" s="354"/>
      <c r="EK7" s="354"/>
      <c r="EL7" s="354"/>
      <c r="EM7" s="354"/>
      <c r="EN7" s="354"/>
      <c r="EO7" s="354"/>
      <c r="EP7" s="354"/>
      <c r="EQ7" s="354"/>
      <c r="ER7" s="354"/>
      <c r="ES7" s="354"/>
      <c r="ET7" s="354"/>
      <c r="EU7" s="354"/>
      <c r="EV7" s="354"/>
      <c r="EW7" s="354"/>
      <c r="EX7" s="354"/>
      <c r="EY7" s="354"/>
    </row>
    <row r="8" spans="1:155" s="225" customFormat="1" ht="18.399999999999999" customHeight="1" x14ac:dyDescent="0.2">
      <c r="A8" s="1713" t="str">
        <f>IF(+Funding!A8="","",+Funding!A8)</f>
        <v/>
      </c>
      <c r="B8" s="1714"/>
      <c r="C8" s="1714"/>
      <c r="D8" s="1714"/>
      <c r="E8" s="1714"/>
      <c r="F8" s="1714"/>
      <c r="G8" s="1714"/>
      <c r="H8" s="1714"/>
      <c r="I8" s="1714"/>
      <c r="J8" s="1714"/>
      <c r="K8" s="1714"/>
      <c r="L8" s="1714"/>
      <c r="M8" s="1714"/>
      <c r="N8" s="1714"/>
      <c r="O8" s="1714"/>
      <c r="P8" s="1714"/>
      <c r="Q8" s="1714"/>
      <c r="R8" s="1715"/>
      <c r="S8" s="968"/>
      <c r="T8" s="1751"/>
      <c r="U8" s="1751"/>
      <c r="V8" s="1751"/>
      <c r="W8" s="1751"/>
      <c r="X8" s="2186"/>
      <c r="Y8" s="2186"/>
      <c r="Z8" s="997"/>
      <c r="AA8" s="101"/>
      <c r="AB8" s="141"/>
      <c r="AC8" s="969"/>
      <c r="AD8" s="223"/>
      <c r="AE8" s="223"/>
      <c r="AF8" s="223"/>
      <c r="AG8" s="223"/>
      <c r="AH8" s="223"/>
      <c r="AI8" s="223"/>
      <c r="AJ8" s="223"/>
      <c r="AK8" s="223"/>
      <c r="AL8" s="223"/>
      <c r="AM8" s="223"/>
      <c r="AN8" s="223"/>
      <c r="AO8" s="223"/>
      <c r="AP8" s="223"/>
      <c r="AQ8" s="141"/>
      <c r="AR8" s="153"/>
      <c r="AS8" s="153"/>
      <c r="AT8" s="999"/>
      <c r="AU8" s="999"/>
      <c r="AV8" s="999"/>
      <c r="AW8" s="999"/>
      <c r="AX8" s="999"/>
      <c r="AY8" s="999"/>
      <c r="AZ8" s="224"/>
      <c r="BA8" s="224"/>
      <c r="BB8" s="224"/>
      <c r="BC8" s="224"/>
      <c r="BD8" s="224"/>
      <c r="BE8" s="224"/>
      <c r="BF8" s="224"/>
      <c r="BG8" s="224"/>
      <c r="BH8" s="224"/>
      <c r="BI8" s="224"/>
      <c r="BJ8" s="224"/>
      <c r="BK8" s="224"/>
      <c r="BL8" s="224"/>
      <c r="BM8" s="224"/>
      <c r="BN8" s="224"/>
      <c r="BO8" s="224"/>
      <c r="BP8" s="131"/>
      <c r="BQ8" s="131"/>
      <c r="BR8" s="131"/>
      <c r="BS8" s="131"/>
      <c r="BT8" s="131"/>
      <c r="BU8" s="131"/>
      <c r="BV8" s="131"/>
      <c r="BW8" s="131"/>
      <c r="BX8" s="131"/>
      <c r="BY8" s="131"/>
      <c r="BZ8" s="131"/>
      <c r="CA8" s="131"/>
      <c r="CB8" s="131"/>
      <c r="CC8" s="131"/>
      <c r="CD8" s="131"/>
      <c r="CE8" s="131"/>
      <c r="CF8" s="131"/>
      <c r="CG8" s="1"/>
      <c r="CH8" s="1"/>
      <c r="CI8" s="605"/>
      <c r="CJ8" s="1"/>
      <c r="CK8" s="1"/>
      <c r="CL8" s="1"/>
      <c r="CM8" s="1"/>
      <c r="CN8" s="1"/>
      <c r="CO8" s="1"/>
      <c r="CP8" s="1"/>
      <c r="CQ8" s="1"/>
      <c r="CR8" s="1"/>
      <c r="CS8" s="1"/>
      <c r="CT8" s="1"/>
      <c r="CU8" s="1"/>
      <c r="CV8" s="1"/>
      <c r="CW8" s="1"/>
      <c r="CX8" s="1"/>
      <c r="DQ8" s="713"/>
      <c r="DR8" s="713"/>
      <c r="DS8" s="713"/>
      <c r="DT8" s="713"/>
      <c r="DU8" s="713"/>
      <c r="DV8" s="713"/>
      <c r="DW8" s="713"/>
      <c r="DX8" s="713"/>
      <c r="DY8" s="713"/>
      <c r="DZ8" s="713"/>
      <c r="EA8" s="713"/>
      <c r="EB8" s="713"/>
      <c r="EC8" s="713"/>
      <c r="ED8" s="713"/>
      <c r="EE8" s="713"/>
      <c r="EF8" s="713"/>
      <c r="EG8" s="713"/>
      <c r="EH8" s="713"/>
      <c r="EI8" s="713"/>
      <c r="EJ8" s="713"/>
      <c r="EK8" s="713"/>
      <c r="EL8" s="713"/>
      <c r="EM8" s="713"/>
      <c r="EN8" s="713"/>
      <c r="EO8" s="713"/>
      <c r="EP8" s="713"/>
      <c r="EQ8" s="713"/>
      <c r="ER8" s="713"/>
      <c r="ES8" s="713"/>
      <c r="ET8" s="713"/>
      <c r="EU8" s="713"/>
      <c r="EV8" s="713"/>
      <c r="EW8" s="713"/>
      <c r="EX8" s="713"/>
      <c r="EY8" s="713"/>
    </row>
    <row r="9" spans="1:155" s="225" customFormat="1" ht="8.65" customHeight="1" x14ac:dyDescent="0.2">
      <c r="A9" s="995"/>
      <c r="B9" s="995"/>
      <c r="C9" s="995"/>
      <c r="D9" s="995"/>
      <c r="E9" s="995"/>
      <c r="F9" s="995"/>
      <c r="G9" s="995"/>
      <c r="H9" s="995"/>
      <c r="I9" s="995"/>
      <c r="J9" s="995"/>
      <c r="K9" s="995"/>
      <c r="L9" s="995"/>
      <c r="M9" s="995"/>
      <c r="N9" s="995"/>
      <c r="O9" s="995"/>
      <c r="P9" s="995"/>
      <c r="Q9" s="995"/>
      <c r="R9" s="995"/>
      <c r="S9" s="995"/>
      <c r="T9" s="995"/>
      <c r="U9" s="995"/>
      <c r="V9" s="995"/>
      <c r="W9" s="995"/>
      <c r="X9" s="2186"/>
      <c r="Y9" s="2186"/>
      <c r="Z9" s="997"/>
      <c r="AA9" s="101"/>
      <c r="AB9" s="141"/>
      <c r="AC9" s="969"/>
      <c r="AD9" s="223"/>
      <c r="AE9" s="223"/>
      <c r="AF9" s="223"/>
      <c r="AG9" s="223"/>
      <c r="AH9" s="223"/>
      <c r="AI9" s="223"/>
      <c r="AJ9" s="223"/>
      <c r="AK9" s="223"/>
      <c r="AL9" s="223"/>
      <c r="AM9" s="223"/>
      <c r="AN9" s="223"/>
      <c r="AO9" s="223"/>
      <c r="AP9" s="223"/>
      <c r="AQ9" s="141"/>
      <c r="AR9" s="131"/>
      <c r="AS9" s="131"/>
      <c r="AT9" s="135"/>
      <c r="AU9" s="135"/>
      <c r="AV9" s="135"/>
      <c r="AW9" s="135"/>
      <c r="AX9" s="135"/>
      <c r="AY9" s="135"/>
      <c r="AZ9" s="224"/>
      <c r="BA9" s="224"/>
      <c r="BB9" s="224"/>
      <c r="BC9" s="224"/>
      <c r="BD9" s="224"/>
      <c r="BE9" s="224"/>
      <c r="BF9" s="224"/>
      <c r="BG9" s="224"/>
      <c r="BH9" s="224"/>
      <c r="BI9" s="224"/>
      <c r="BJ9" s="224"/>
      <c r="BK9" s="224"/>
      <c r="BL9" s="224"/>
      <c r="BM9" s="224"/>
      <c r="BN9" s="224"/>
      <c r="BO9" s="224"/>
      <c r="BP9" s="153"/>
      <c r="BQ9" s="153"/>
      <c r="BR9" s="153"/>
      <c r="BS9" s="153"/>
      <c r="BT9" s="153"/>
      <c r="BU9" s="153"/>
      <c r="BV9" s="153"/>
      <c r="BW9" s="153"/>
      <c r="BX9" s="153"/>
      <c r="BY9" s="153"/>
      <c r="BZ9" s="153"/>
      <c r="CA9" s="153"/>
      <c r="CB9" s="153"/>
      <c r="CC9" s="153"/>
      <c r="CD9" s="153"/>
      <c r="CE9" s="153"/>
      <c r="CF9" s="153"/>
      <c r="CG9" s="27"/>
      <c r="CH9" s="27"/>
      <c r="CI9" s="604"/>
      <c r="CJ9" s="27"/>
      <c r="CK9" s="27"/>
      <c r="CL9" s="27"/>
      <c r="CM9" s="27"/>
      <c r="CN9" s="27"/>
      <c r="CO9" s="27"/>
      <c r="CP9" s="27"/>
      <c r="CQ9" s="27"/>
      <c r="CR9" s="27"/>
      <c r="CS9" s="27"/>
      <c r="CT9" s="27"/>
      <c r="CU9" s="27"/>
      <c r="CV9" s="27"/>
      <c r="CW9" s="27"/>
      <c r="CX9" s="27"/>
      <c r="DQ9" s="713"/>
      <c r="DR9" s="713"/>
      <c r="DS9" s="713"/>
      <c r="DT9" s="713"/>
      <c r="DU9" s="713"/>
      <c r="DV9" s="713"/>
      <c r="DW9" s="713"/>
      <c r="DX9" s="713"/>
      <c r="DY9" s="713"/>
      <c r="DZ9" s="713"/>
      <c r="EA9" s="713"/>
      <c r="EB9" s="713"/>
      <c r="EC9" s="713"/>
      <c r="ED9" s="713"/>
      <c r="EE9" s="713"/>
      <c r="EF9" s="713"/>
      <c r="EG9" s="713"/>
      <c r="EH9" s="713"/>
      <c r="EI9" s="713"/>
      <c r="EJ9" s="713"/>
      <c r="EK9" s="713"/>
      <c r="EL9" s="713"/>
      <c r="EM9" s="713"/>
      <c r="EN9" s="713"/>
      <c r="EO9" s="713"/>
      <c r="EP9" s="713"/>
      <c r="EQ9" s="713"/>
      <c r="ER9" s="713"/>
      <c r="ES9" s="713"/>
      <c r="ET9" s="713"/>
      <c r="EU9" s="713"/>
      <c r="EV9" s="713"/>
      <c r="EW9" s="713"/>
      <c r="EX9" s="713"/>
      <c r="EY9" s="713"/>
    </row>
    <row r="10" spans="1:155" s="102" customFormat="1" ht="26.25" x14ac:dyDescent="0.25">
      <c r="A10" s="1892" t="str">
        <f>IF(A11="Purchase Price", "Purchase Costs","Construction Budget")</f>
        <v>Construction Budget</v>
      </c>
      <c r="B10" s="1892"/>
      <c r="C10" s="1892"/>
      <c r="D10" s="1892"/>
      <c r="E10" s="1892"/>
      <c r="F10" s="1892"/>
      <c r="G10" s="1892"/>
      <c r="H10" s="1892"/>
      <c r="I10" s="1892"/>
      <c r="J10" s="1028"/>
      <c r="K10" s="1892" t="s">
        <v>1018</v>
      </c>
      <c r="L10" s="1892"/>
      <c r="M10" s="1892"/>
      <c r="N10" s="1892"/>
      <c r="O10" s="1892"/>
      <c r="P10" s="1892"/>
      <c r="Q10" s="1892"/>
      <c r="R10" s="1892"/>
      <c r="S10" s="1892"/>
      <c r="U10" s="2189" t="s">
        <v>939</v>
      </c>
      <c r="V10" s="2189"/>
      <c r="W10" s="2189"/>
      <c r="X10" s="2189" t="s">
        <v>177</v>
      </c>
      <c r="Y10" s="2189"/>
      <c r="Z10" s="2189"/>
      <c r="AA10" s="64"/>
      <c r="AB10" s="143"/>
      <c r="AC10" s="969"/>
      <c r="AD10" s="223"/>
      <c r="AE10" s="223"/>
      <c r="AF10" s="223"/>
      <c r="AG10" s="223"/>
      <c r="AH10" s="223"/>
      <c r="AI10" s="223"/>
      <c r="AJ10" s="223"/>
      <c r="AK10" s="223"/>
      <c r="AL10" s="223"/>
      <c r="AM10" s="223"/>
      <c r="AN10" s="223"/>
      <c r="AO10" s="223"/>
      <c r="AP10" s="223"/>
      <c r="AQ10" s="141"/>
      <c r="AR10" s="131"/>
      <c r="AS10" s="131"/>
      <c r="AT10" s="135"/>
      <c r="AU10" s="135"/>
      <c r="AV10" s="135"/>
      <c r="AW10" s="135"/>
      <c r="AX10" s="135"/>
      <c r="AY10" s="135"/>
      <c r="AZ10" s="142"/>
      <c r="BA10" s="142"/>
      <c r="BB10" s="142"/>
      <c r="BC10" s="142"/>
      <c r="BD10" s="142"/>
      <c r="BE10" s="142"/>
      <c r="BF10" s="142"/>
      <c r="BG10" s="142"/>
      <c r="BH10" s="142"/>
      <c r="BI10" s="142"/>
      <c r="BJ10" s="142"/>
      <c r="BK10" s="142"/>
      <c r="BL10" s="142"/>
      <c r="BM10" s="142"/>
      <c r="BN10" s="142"/>
      <c r="BO10" s="142"/>
      <c r="BP10" s="131"/>
      <c r="BQ10" s="131"/>
      <c r="BR10" s="131"/>
      <c r="BS10" s="131"/>
      <c r="BT10" s="131"/>
      <c r="BU10" s="131"/>
      <c r="BV10" s="131"/>
      <c r="BW10" s="131"/>
      <c r="BX10" s="131"/>
      <c r="BY10" s="131"/>
      <c r="BZ10" s="131"/>
      <c r="CA10" s="131"/>
      <c r="CB10" s="131"/>
      <c r="CC10" s="131"/>
      <c r="CD10" s="131"/>
      <c r="CE10" s="131"/>
      <c r="CF10" s="131"/>
      <c r="CG10" s="1"/>
      <c r="CH10" s="1"/>
      <c r="CI10" s="605"/>
      <c r="CJ10" s="1"/>
      <c r="CK10" s="1"/>
      <c r="CL10" s="1"/>
      <c r="CM10" s="1"/>
      <c r="CN10" s="1"/>
      <c r="CO10" s="1"/>
      <c r="CP10" s="1"/>
      <c r="CQ10" s="1"/>
      <c r="CR10" s="1"/>
      <c r="CS10" s="1"/>
      <c r="CT10" s="1"/>
      <c r="CU10" s="1"/>
      <c r="CV10" s="1"/>
      <c r="CW10" s="1"/>
      <c r="CX10" s="1"/>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row>
    <row r="11" spans="1:155" s="102" customFormat="1" ht="18.600000000000001" customHeight="1" x14ac:dyDescent="0.2">
      <c r="A11" s="2182" t="s">
        <v>1016</v>
      </c>
      <c r="B11" s="2182"/>
      <c r="C11" s="2182"/>
      <c r="D11" s="2182"/>
      <c r="E11" s="2182"/>
      <c r="F11" s="2207" t="s">
        <v>295</v>
      </c>
      <c r="G11" s="2203" t="str">
        <f>IF(Funding!G11="","",+Funding!G11)</f>
        <v/>
      </c>
      <c r="H11" s="2204"/>
      <c r="I11" s="2205"/>
      <c r="J11" s="51"/>
      <c r="K11" s="1719" t="s">
        <v>938</v>
      </c>
      <c r="L11" s="1719"/>
      <c r="M11" s="1719"/>
      <c r="N11" s="1719"/>
      <c r="O11" s="1720"/>
      <c r="P11" s="1680">
        <f>IF(F14=1,"",+G14)</f>
        <v>0</v>
      </c>
      <c r="Q11" s="1681"/>
      <c r="R11" s="1682"/>
      <c r="S11" s="2190"/>
      <c r="T11" s="2191"/>
      <c r="U11" s="2192"/>
      <c r="V11" s="2193"/>
      <c r="W11" s="2194"/>
      <c r="X11" s="2199" t="s">
        <v>941</v>
      </c>
      <c r="Y11" s="2200"/>
      <c r="Z11" s="2201"/>
      <c r="AA11" s="64"/>
      <c r="AB11" s="143"/>
      <c r="AC11" s="969"/>
      <c r="AD11" s="223"/>
      <c r="AE11" s="223"/>
      <c r="AF11" s="223"/>
      <c r="AG11" s="223"/>
      <c r="AH11" s="223"/>
      <c r="AI11" s="223"/>
      <c r="AJ11" s="223"/>
      <c r="AK11" s="223"/>
      <c r="AL11" s="223"/>
      <c r="AM11" s="223"/>
      <c r="AN11" s="223"/>
      <c r="AO11" s="223"/>
      <c r="AP11" s="223"/>
      <c r="AQ11" s="143"/>
      <c r="AR11" s="153"/>
      <c r="AS11" s="153"/>
      <c r="AT11" s="999"/>
      <c r="AU11" s="999"/>
      <c r="AV11" s="999"/>
      <c r="AW11" s="999"/>
      <c r="AX11" s="999"/>
      <c r="AY11" s="999"/>
      <c r="AZ11" s="142"/>
      <c r="BA11" s="142"/>
      <c r="BB11" s="142"/>
      <c r="BC11" s="142"/>
      <c r="BD11" s="142"/>
      <c r="BE11" s="142"/>
      <c r="BF11" s="142"/>
      <c r="BG11" s="142"/>
      <c r="BH11" s="142"/>
      <c r="BI11" s="142"/>
      <c r="BJ11" s="142"/>
      <c r="BK11" s="142"/>
      <c r="BL11" s="142"/>
      <c r="BM11" s="142"/>
      <c r="BN11" s="142"/>
      <c r="BO11" s="142"/>
      <c r="BP11" s="131"/>
      <c r="BQ11" s="131"/>
      <c r="BR11" s="131"/>
      <c r="BS11" s="131"/>
      <c r="BT11" s="131"/>
      <c r="BU11" s="131"/>
      <c r="BV11" s="131"/>
      <c r="BW11" s="131"/>
      <c r="BX11" s="131"/>
      <c r="BY11" s="131"/>
      <c r="BZ11" s="131"/>
      <c r="CA11" s="131"/>
      <c r="CB11" s="131"/>
      <c r="CC11" s="131"/>
      <c r="CD11" s="131"/>
      <c r="CE11" s="131"/>
      <c r="CF11" s="131"/>
      <c r="CG11" s="1"/>
      <c r="CH11" s="1"/>
      <c r="CI11" s="421"/>
      <c r="CJ11" s="606"/>
      <c r="CK11" s="1"/>
      <c r="CL11" s="606"/>
      <c r="CM11" s="1"/>
      <c r="CN11" s="1"/>
      <c r="CO11" s="1"/>
      <c r="CP11" s="1"/>
      <c r="CQ11" s="1"/>
      <c r="CR11" s="1"/>
      <c r="CS11" s="1"/>
      <c r="CT11" s="1"/>
      <c r="CU11" s="1"/>
      <c r="CV11" s="1"/>
      <c r="CW11" s="1"/>
      <c r="CX11" s="1"/>
      <c r="DQ11" s="714"/>
      <c r="DR11" s="714"/>
      <c r="DS11" s="714"/>
      <c r="DT11" s="714"/>
      <c r="DU11" s="714"/>
      <c r="DV11" s="714"/>
      <c r="DW11" s="714"/>
      <c r="DX11" s="714"/>
      <c r="DY11" s="714"/>
      <c r="DZ11" s="714"/>
      <c r="EA11" s="714"/>
      <c r="EB11" s="714"/>
      <c r="EC11" s="714"/>
      <c r="ED11" s="714"/>
      <c r="EE11" s="714"/>
      <c r="EF11" s="714"/>
      <c r="EG11" s="714"/>
      <c r="EH11" s="714"/>
      <c r="EI11" s="714"/>
      <c r="EJ11" s="714"/>
      <c r="EK11" s="714"/>
      <c r="EL11" s="714"/>
      <c r="EM11" s="714"/>
      <c r="EN11" s="714"/>
      <c r="EO11" s="714"/>
      <c r="EP11" s="714"/>
      <c r="EQ11" s="714"/>
      <c r="ER11" s="714"/>
      <c r="ES11" s="714"/>
      <c r="ET11" s="714"/>
      <c r="EU11" s="714"/>
      <c r="EV11" s="714"/>
      <c r="EW11" s="714"/>
      <c r="EX11" s="714"/>
      <c r="EY11" s="714"/>
    </row>
    <row r="12" spans="1:155" s="1" customFormat="1" ht="18.600000000000001" customHeight="1" x14ac:dyDescent="0.25">
      <c r="A12" s="2182" t="s">
        <v>1008</v>
      </c>
      <c r="B12" s="2182"/>
      <c r="C12" s="2182"/>
      <c r="D12" s="2182"/>
      <c r="E12" s="2182"/>
      <c r="F12" s="2208"/>
      <c r="G12" s="2195" t="str">
        <f>+Funding!G17</f>
        <v/>
      </c>
      <c r="H12" s="2196"/>
      <c r="I12" s="2197"/>
      <c r="J12" s="51"/>
      <c r="L12" s="1022"/>
      <c r="M12" s="1022"/>
      <c r="N12" s="1022"/>
      <c r="O12" s="1022"/>
      <c r="P12" s="1029"/>
      <c r="AA12" s="64"/>
      <c r="AB12" s="143"/>
      <c r="AC12" s="969"/>
      <c r="AD12" s="223"/>
      <c r="AE12" s="223"/>
      <c r="AF12" s="223"/>
      <c r="AG12" s="223"/>
      <c r="AH12" s="223"/>
      <c r="AI12" s="223"/>
      <c r="AJ12" s="223"/>
      <c r="AK12" s="223"/>
      <c r="AL12" s="223"/>
      <c r="AM12" s="223"/>
      <c r="AN12" s="223"/>
      <c r="AO12" s="223"/>
      <c r="AP12" s="223"/>
      <c r="AQ12" s="143"/>
      <c r="AR12" s="131"/>
      <c r="AS12" s="131"/>
      <c r="AT12" s="135"/>
      <c r="AU12" s="135"/>
      <c r="AV12" s="135"/>
      <c r="AW12" s="135"/>
      <c r="AX12" s="135"/>
      <c r="AY12" s="135"/>
      <c r="AZ12" s="135"/>
      <c r="BA12" s="135"/>
      <c r="BB12" s="135"/>
      <c r="BC12" s="135"/>
      <c r="BD12" s="135"/>
      <c r="BE12" s="135"/>
      <c r="BF12" s="135"/>
      <c r="BG12" s="135"/>
      <c r="BH12" s="135"/>
      <c r="BI12" s="135"/>
      <c r="BJ12" s="135"/>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I12" s="605"/>
      <c r="DQ12" s="354"/>
      <c r="DR12" s="354"/>
      <c r="DS12" s="354"/>
      <c r="DT12" s="354"/>
      <c r="DU12" s="354"/>
      <c r="DV12" s="354"/>
      <c r="DW12" s="354"/>
      <c r="DX12" s="354"/>
      <c r="DY12" s="354"/>
      <c r="DZ12" s="354"/>
      <c r="EA12" s="354"/>
      <c r="EB12" s="354"/>
      <c r="EC12" s="354"/>
      <c r="ED12" s="354"/>
      <c r="EE12" s="354"/>
      <c r="EF12" s="354"/>
      <c r="EG12" s="354"/>
      <c r="EH12" s="354"/>
      <c r="EI12" s="354"/>
      <c r="EJ12" s="354"/>
      <c r="EK12" s="354"/>
      <c r="EL12" s="354"/>
      <c r="EM12" s="354"/>
      <c r="EN12" s="354"/>
      <c r="EO12" s="354"/>
      <c r="EP12" s="354"/>
      <c r="EQ12" s="354"/>
      <c r="ER12" s="354"/>
      <c r="ES12" s="354"/>
      <c r="ET12" s="354"/>
      <c r="EU12" s="354"/>
      <c r="EV12" s="354"/>
      <c r="EW12" s="354"/>
      <c r="EX12" s="354"/>
      <c r="EY12" s="354"/>
    </row>
    <row r="13" spans="1:155" s="65" customFormat="1" ht="18.75" customHeight="1" x14ac:dyDescent="0.25">
      <c r="A13" s="2182" t="s">
        <v>1010</v>
      </c>
      <c r="B13" s="2182"/>
      <c r="C13" s="2182"/>
      <c r="D13" s="2182"/>
      <c r="E13" s="2182"/>
      <c r="F13" s="2209"/>
      <c r="G13" s="2187"/>
      <c r="H13" s="2187"/>
      <c r="I13" s="2188"/>
      <c r="J13" s="51"/>
      <c r="K13" s="1001">
        <v>1</v>
      </c>
      <c r="L13" s="1022" t="s">
        <v>936</v>
      </c>
      <c r="M13" s="1022"/>
      <c r="N13" s="1022"/>
      <c r="O13" s="1023"/>
      <c r="P13" s="1680"/>
      <c r="Q13" s="1681"/>
      <c r="R13" s="1682"/>
      <c r="S13" s="2216" t="str">
        <f>IFERROR(+P13/$P$23,"")</f>
        <v/>
      </c>
      <c r="T13" s="2217"/>
      <c r="U13" s="2192"/>
      <c r="V13" s="2193"/>
      <c r="W13" s="2194"/>
      <c r="X13" s="2199"/>
      <c r="Y13" s="2200"/>
      <c r="Z13" s="2201"/>
      <c r="AA13" s="64"/>
      <c r="AB13" s="143"/>
      <c r="AC13" s="969"/>
      <c r="AD13" s="223"/>
      <c r="AE13" s="223"/>
      <c r="AF13" s="223"/>
      <c r="AG13" s="223"/>
      <c r="AH13" s="223"/>
      <c r="AI13" s="223"/>
      <c r="AJ13" s="223"/>
      <c r="AK13" s="223"/>
      <c r="AL13" s="223"/>
      <c r="AM13" s="223"/>
      <c r="AN13" s="223"/>
      <c r="AO13" s="223"/>
      <c r="AP13" s="223"/>
      <c r="AQ13" s="150"/>
      <c r="AR13" s="131"/>
      <c r="AS13" s="131"/>
      <c r="AT13" s="135"/>
      <c r="AU13" s="135"/>
      <c r="AV13" s="135"/>
      <c r="AW13" s="135"/>
      <c r="AX13" s="135"/>
      <c r="AY13" s="135"/>
      <c r="AZ13" s="146"/>
      <c r="BA13" s="146"/>
      <c r="BB13" s="146"/>
      <c r="BC13" s="146"/>
      <c r="BD13" s="146"/>
      <c r="BE13" s="146"/>
      <c r="BF13" s="146"/>
      <c r="BG13" s="146"/>
      <c r="BH13" s="146"/>
      <c r="BI13" s="146"/>
      <c r="BJ13" s="146"/>
      <c r="BK13" s="146"/>
      <c r="BL13" s="146"/>
      <c r="BM13" s="146"/>
      <c r="BN13" s="146"/>
      <c r="BO13" s="146"/>
      <c r="BP13" s="153"/>
      <c r="BQ13" s="153"/>
      <c r="BR13" s="153"/>
      <c r="BS13" s="153"/>
      <c r="BT13" s="153"/>
      <c r="BU13" s="153"/>
      <c r="BV13" s="153"/>
      <c r="BW13" s="153"/>
      <c r="BX13" s="153"/>
      <c r="BY13" s="153"/>
      <c r="BZ13" s="153"/>
      <c r="CA13" s="153"/>
      <c r="CB13" s="153"/>
      <c r="CC13" s="153"/>
      <c r="CD13" s="153"/>
      <c r="CE13" s="153"/>
      <c r="CF13" s="153"/>
      <c r="CG13" s="27"/>
      <c r="CH13" s="27"/>
      <c r="CI13" s="604"/>
      <c r="CJ13" s="27"/>
      <c r="CK13" s="27"/>
      <c r="CL13" s="27"/>
      <c r="CM13" s="27"/>
      <c r="CN13" s="27"/>
      <c r="CO13" s="27"/>
      <c r="CP13" s="27"/>
      <c r="CQ13" s="27"/>
      <c r="CR13" s="27"/>
      <c r="CS13" s="27"/>
      <c r="CT13" s="27"/>
      <c r="CU13" s="27"/>
      <c r="CV13" s="27"/>
      <c r="CW13" s="27"/>
      <c r="CX13" s="27"/>
      <c r="DQ13" s="715"/>
      <c r="DR13" s="715"/>
      <c r="DS13" s="715"/>
      <c r="DT13" s="715"/>
      <c r="DU13" s="715"/>
      <c r="DV13" s="715"/>
      <c r="DW13" s="715"/>
      <c r="DX13" s="715"/>
      <c r="DY13" s="715"/>
      <c r="DZ13" s="715"/>
      <c r="EA13" s="715"/>
      <c r="EB13" s="715"/>
      <c r="EC13" s="715"/>
      <c r="ED13" s="715"/>
      <c r="EE13" s="715"/>
      <c r="EF13" s="715"/>
      <c r="EG13" s="715"/>
      <c r="EH13" s="715"/>
      <c r="EI13" s="715"/>
      <c r="EJ13" s="715"/>
      <c r="EK13" s="715"/>
      <c r="EL13" s="715"/>
      <c r="EM13" s="715"/>
      <c r="EN13" s="715"/>
      <c r="EO13" s="715"/>
      <c r="EP13" s="715"/>
      <c r="EQ13" s="715"/>
      <c r="ER13" s="715"/>
      <c r="ES13" s="715"/>
      <c r="ET13" s="715"/>
      <c r="EU13" s="715"/>
      <c r="EV13" s="715"/>
      <c r="EW13" s="715"/>
      <c r="EX13" s="715"/>
      <c r="EY13" s="715"/>
    </row>
    <row r="14" spans="1:155" s="1" customFormat="1" ht="18.75" customHeight="1" x14ac:dyDescent="0.25">
      <c r="A14" s="2218" t="s">
        <v>938</v>
      </c>
      <c r="B14" s="2218"/>
      <c r="C14" s="2218"/>
      <c r="D14" s="2218"/>
      <c r="E14" s="2219" t="s">
        <v>1017</v>
      </c>
      <c r="F14" s="1026">
        <v>0</v>
      </c>
      <c r="G14" s="2198"/>
      <c r="H14" s="2198"/>
      <c r="I14" s="2198"/>
      <c r="J14" s="1027">
        <f>G14*F14</f>
        <v>0</v>
      </c>
      <c r="K14" s="1001">
        <v>2</v>
      </c>
      <c r="L14" s="1022" t="s">
        <v>942</v>
      </c>
      <c r="M14" s="1022"/>
      <c r="N14" s="1022"/>
      <c r="O14" s="1023"/>
      <c r="P14" s="1680"/>
      <c r="Q14" s="1681"/>
      <c r="R14" s="1682"/>
      <c r="S14" s="2216" t="str">
        <f t="shared" ref="S14:S22" si="0">IFERROR(+P14/$P$23,"")</f>
        <v/>
      </c>
      <c r="T14" s="2217"/>
      <c r="U14" s="2192"/>
      <c r="V14" s="2193"/>
      <c r="W14" s="2194"/>
      <c r="X14" s="2199"/>
      <c r="Y14" s="2200"/>
      <c r="Z14" s="2201"/>
      <c r="AB14" s="131"/>
      <c r="AC14" s="969"/>
      <c r="AD14" s="223"/>
      <c r="AE14" s="223"/>
      <c r="AF14" s="223"/>
      <c r="AG14" s="223"/>
      <c r="AH14" s="223"/>
      <c r="AI14" s="223"/>
      <c r="AJ14" s="223"/>
      <c r="AK14" s="223"/>
      <c r="AL14" s="223"/>
      <c r="AM14" s="223"/>
      <c r="AN14" s="223"/>
      <c r="AO14" s="223"/>
      <c r="AP14" s="223"/>
      <c r="AQ14" s="143"/>
      <c r="AR14" s="153"/>
      <c r="AS14" s="153"/>
      <c r="AT14" s="999"/>
      <c r="AU14" s="999"/>
      <c r="AV14" s="999"/>
      <c r="AW14" s="999"/>
      <c r="AX14" s="999"/>
      <c r="AY14" s="999"/>
      <c r="AZ14" s="135"/>
      <c r="BA14" s="135"/>
      <c r="BB14" s="135"/>
      <c r="BC14" s="135"/>
      <c r="BD14" s="135"/>
      <c r="BE14" s="135"/>
      <c r="BF14" s="135"/>
      <c r="BG14" s="135"/>
      <c r="BH14" s="135"/>
      <c r="BI14" s="135"/>
      <c r="BJ14" s="135"/>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I14" s="605"/>
      <c r="DQ14" s="354"/>
      <c r="DR14" s="354"/>
      <c r="DS14" s="354"/>
      <c r="DT14" s="354"/>
      <c r="DU14" s="354"/>
      <c r="DV14" s="354"/>
      <c r="DW14" s="354"/>
      <c r="DX14" s="354"/>
      <c r="DY14" s="354"/>
      <c r="DZ14" s="354"/>
      <c r="EA14" s="354"/>
      <c r="EB14" s="354"/>
      <c r="EC14" s="354"/>
      <c r="ED14" s="354"/>
      <c r="EE14" s="354"/>
      <c r="EF14" s="354"/>
      <c r="EG14" s="354"/>
      <c r="EH14" s="354"/>
      <c r="EI14" s="354"/>
      <c r="EJ14" s="354"/>
      <c r="EK14" s="354"/>
      <c r="EL14" s="354"/>
      <c r="EM14" s="354"/>
      <c r="EN14" s="354"/>
      <c r="EO14" s="354"/>
      <c r="EP14" s="354"/>
      <c r="EQ14" s="354"/>
      <c r="ER14" s="354"/>
      <c r="ES14" s="354"/>
      <c r="ET14" s="354"/>
      <c r="EU14" s="354"/>
      <c r="EV14" s="354"/>
      <c r="EW14" s="354"/>
      <c r="EX14" s="354"/>
      <c r="EY14" s="354"/>
    </row>
    <row r="15" spans="1:155" s="1" customFormat="1" ht="18.75" customHeight="1" x14ac:dyDescent="0.2">
      <c r="A15" s="1719" t="s">
        <v>1013</v>
      </c>
      <c r="B15" s="1719"/>
      <c r="C15" s="1719"/>
      <c r="D15" s="1719"/>
      <c r="E15" s="2219"/>
      <c r="F15" s="956"/>
      <c r="G15" s="2183"/>
      <c r="H15" s="2183"/>
      <c r="I15" s="2183"/>
      <c r="J15" s="1027">
        <f t="shared" ref="J15:J20" si="1">G15*F15</f>
        <v>0</v>
      </c>
      <c r="K15" s="1001">
        <v>3</v>
      </c>
      <c r="L15" s="1022" t="s">
        <v>943</v>
      </c>
      <c r="M15" s="1022"/>
      <c r="N15" s="1022"/>
      <c r="O15" s="1023"/>
      <c r="P15" s="1680"/>
      <c r="Q15" s="1681"/>
      <c r="R15" s="1682"/>
      <c r="S15" s="2216" t="str">
        <f t="shared" si="0"/>
        <v/>
      </c>
      <c r="T15" s="2217"/>
      <c r="U15" s="2192"/>
      <c r="V15" s="2193"/>
      <c r="W15" s="2194"/>
      <c r="X15" s="2199"/>
      <c r="Y15" s="2200"/>
      <c r="Z15" s="2201"/>
      <c r="AB15" s="131"/>
      <c r="AC15" s="969"/>
      <c r="AD15" s="223"/>
      <c r="AE15" s="223"/>
      <c r="AF15" s="223"/>
      <c r="AG15" s="223"/>
      <c r="AH15" s="223"/>
      <c r="AI15" s="223"/>
      <c r="AJ15" s="223"/>
      <c r="AK15" s="223"/>
      <c r="AL15" s="223"/>
      <c r="AM15" s="223"/>
      <c r="AN15" s="223"/>
      <c r="AO15" s="223"/>
      <c r="AP15" s="223"/>
      <c r="AQ15" s="131"/>
      <c r="AR15" s="131"/>
      <c r="AS15" s="131"/>
      <c r="AT15" s="135"/>
      <c r="AU15" s="135"/>
      <c r="AV15" s="135"/>
      <c r="AW15" s="135"/>
      <c r="AX15" s="135"/>
      <c r="AY15" s="135"/>
      <c r="AZ15" s="135"/>
      <c r="BA15" s="135"/>
      <c r="BB15" s="135"/>
      <c r="BC15" s="135"/>
      <c r="BD15" s="135"/>
      <c r="BE15" s="135"/>
      <c r="BF15" s="135"/>
      <c r="BG15" s="135"/>
      <c r="BH15" s="135"/>
      <c r="BI15" s="135"/>
      <c r="BJ15" s="135"/>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I15" s="421"/>
      <c r="CJ15" s="606"/>
      <c r="CL15" s="606"/>
      <c r="DQ15" s="354"/>
      <c r="DR15" s="354"/>
      <c r="DS15" s="354"/>
      <c r="DT15" s="354"/>
      <c r="DU15" s="354"/>
      <c r="DV15" s="354"/>
      <c r="DW15" s="354"/>
      <c r="DX15" s="354"/>
      <c r="DY15" s="354"/>
      <c r="DZ15" s="354"/>
      <c r="EA15" s="354"/>
      <c r="EB15" s="354"/>
      <c r="EC15" s="354"/>
      <c r="ED15" s="354"/>
      <c r="EE15" s="354"/>
      <c r="EF15" s="354"/>
      <c r="EG15" s="354"/>
      <c r="EH15" s="354"/>
      <c r="EI15" s="354"/>
      <c r="EJ15" s="354"/>
      <c r="EK15" s="354"/>
      <c r="EL15" s="354"/>
      <c r="EM15" s="354"/>
      <c r="EN15" s="354"/>
      <c r="EO15" s="354"/>
      <c r="EP15" s="354"/>
      <c r="EQ15" s="354"/>
      <c r="ER15" s="354"/>
      <c r="ES15" s="354"/>
      <c r="ET15" s="354"/>
      <c r="EU15" s="354"/>
      <c r="EV15" s="354"/>
      <c r="EW15" s="354"/>
      <c r="EX15" s="354"/>
      <c r="EY15" s="354"/>
    </row>
    <row r="16" spans="1:155" s="1" customFormat="1" ht="18.75" customHeight="1" x14ac:dyDescent="0.25">
      <c r="A16" s="1719" t="s">
        <v>1014</v>
      </c>
      <c r="B16" s="1719"/>
      <c r="C16" s="1719"/>
      <c r="D16" s="1719"/>
      <c r="E16" s="2219"/>
      <c r="F16" s="956"/>
      <c r="G16" s="2183"/>
      <c r="H16" s="2183"/>
      <c r="I16" s="2183"/>
      <c r="J16" s="1027">
        <f t="shared" si="1"/>
        <v>0</v>
      </c>
      <c r="K16" s="1001">
        <v>4</v>
      </c>
      <c r="L16" s="1022" t="s">
        <v>944</v>
      </c>
      <c r="M16" s="1022"/>
      <c r="N16" s="1022"/>
      <c r="O16" s="1023"/>
      <c r="P16" s="1680"/>
      <c r="Q16" s="1681"/>
      <c r="R16" s="1682"/>
      <c r="S16" s="2216" t="str">
        <f t="shared" si="0"/>
        <v/>
      </c>
      <c r="T16" s="2217"/>
      <c r="U16" s="2192"/>
      <c r="V16" s="2193"/>
      <c r="W16" s="2194"/>
      <c r="X16" s="2199"/>
      <c r="Y16" s="2200"/>
      <c r="Z16" s="2201"/>
      <c r="AA16" s="63"/>
      <c r="AB16" s="152"/>
      <c r="AC16" s="969"/>
      <c r="AD16" s="223"/>
      <c r="AE16" s="223"/>
      <c r="AF16" s="223"/>
      <c r="AG16" s="223"/>
      <c r="AH16" s="223"/>
      <c r="AI16" s="223"/>
      <c r="AJ16" s="223"/>
      <c r="AK16" s="223"/>
      <c r="AL16" s="223"/>
      <c r="AM16" s="223"/>
      <c r="AN16" s="223"/>
      <c r="AO16" s="223"/>
      <c r="AP16" s="223"/>
      <c r="AQ16" s="131"/>
      <c r="AR16" s="131"/>
      <c r="AS16" s="131"/>
      <c r="AT16" s="135"/>
      <c r="AU16" s="135"/>
      <c r="AV16" s="135"/>
      <c r="AW16" s="135"/>
      <c r="AX16" s="135"/>
      <c r="AY16" s="135"/>
      <c r="AZ16" s="135"/>
      <c r="BA16" s="135"/>
      <c r="BB16" s="135"/>
      <c r="BC16" s="135"/>
      <c r="BD16" s="135"/>
      <c r="BE16" s="135"/>
      <c r="BF16" s="135"/>
      <c r="BG16" s="135"/>
      <c r="BH16" s="135"/>
      <c r="BI16" s="135"/>
      <c r="BJ16" s="135"/>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I16" s="605"/>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row>
    <row r="17" spans="1:155" s="1" customFormat="1" ht="18.75" customHeight="1" x14ac:dyDescent="0.25">
      <c r="A17" s="1719" t="s">
        <v>1011</v>
      </c>
      <c r="B17" s="1719"/>
      <c r="C17" s="1719"/>
      <c r="D17" s="1719"/>
      <c r="E17" s="2219"/>
      <c r="F17" s="956">
        <v>1</v>
      </c>
      <c r="G17" s="2183"/>
      <c r="H17" s="2183"/>
      <c r="I17" s="2183"/>
      <c r="J17" s="1027">
        <f t="shared" si="1"/>
        <v>0</v>
      </c>
      <c r="K17" s="1001">
        <v>5</v>
      </c>
      <c r="L17" s="1022" t="s">
        <v>945</v>
      </c>
      <c r="M17" s="1022"/>
      <c r="N17" s="1022"/>
      <c r="O17" s="1023"/>
      <c r="P17" s="1680"/>
      <c r="Q17" s="1681"/>
      <c r="R17" s="1682"/>
      <c r="S17" s="2216" t="str">
        <f t="shared" si="0"/>
        <v/>
      </c>
      <c r="T17" s="2217"/>
      <c r="U17" s="2192"/>
      <c r="V17" s="2193"/>
      <c r="W17" s="2194"/>
      <c r="X17" s="2199"/>
      <c r="Y17" s="2200"/>
      <c r="Z17" s="2201"/>
      <c r="AB17" s="131"/>
      <c r="AC17" s="969"/>
      <c r="AD17" s="223"/>
      <c r="AE17" s="223"/>
      <c r="AF17" s="223"/>
      <c r="AG17" s="223"/>
      <c r="AH17" s="223"/>
      <c r="AI17" s="223"/>
      <c r="AJ17" s="223"/>
      <c r="AK17" s="223"/>
      <c r="AL17" s="223"/>
      <c r="AM17" s="223"/>
      <c r="AN17" s="223"/>
      <c r="AO17" s="223"/>
      <c r="AP17" s="223"/>
      <c r="AQ17" s="152"/>
      <c r="AR17" s="153"/>
      <c r="AS17" s="153"/>
      <c r="AT17" s="999"/>
      <c r="AU17" s="999"/>
      <c r="AV17" s="999"/>
      <c r="AW17" s="999"/>
      <c r="AX17" s="999"/>
      <c r="AY17" s="999"/>
      <c r="AZ17" s="135"/>
      <c r="BA17" s="135"/>
      <c r="BB17" s="135"/>
      <c r="BC17" s="135"/>
      <c r="BD17" s="135"/>
      <c r="BE17" s="135"/>
      <c r="BF17" s="135"/>
      <c r="BG17" s="135"/>
      <c r="BH17" s="135"/>
      <c r="BI17" s="135"/>
      <c r="BJ17" s="135"/>
      <c r="BK17" s="131"/>
      <c r="BL17" s="131"/>
      <c r="BM17" s="131"/>
      <c r="BN17" s="131"/>
      <c r="BO17" s="131"/>
      <c r="BP17" s="153"/>
      <c r="BQ17" s="153"/>
      <c r="BR17" s="153"/>
      <c r="BS17" s="153"/>
      <c r="BT17" s="153"/>
      <c r="BU17" s="153"/>
      <c r="BV17" s="153"/>
      <c r="BW17" s="153"/>
      <c r="BX17" s="153"/>
      <c r="BY17" s="153"/>
      <c r="BZ17" s="153"/>
      <c r="CA17" s="153"/>
      <c r="CB17" s="153"/>
      <c r="CC17" s="153"/>
      <c r="CD17" s="153"/>
      <c r="CE17" s="153"/>
      <c r="CF17" s="153"/>
      <c r="CG17" s="27"/>
      <c r="CH17" s="27"/>
      <c r="CI17" s="604"/>
      <c r="CJ17" s="27"/>
      <c r="CK17" s="27"/>
      <c r="CL17" s="27"/>
      <c r="CM17" s="27"/>
      <c r="CN17" s="27"/>
      <c r="CO17" s="27"/>
      <c r="CP17" s="27"/>
      <c r="CQ17" s="27"/>
      <c r="CR17" s="27"/>
      <c r="CS17" s="27"/>
      <c r="CT17" s="27"/>
      <c r="CU17" s="27"/>
      <c r="CV17" s="27"/>
      <c r="CW17" s="27"/>
      <c r="CX17" s="27"/>
      <c r="DQ17" s="354"/>
      <c r="DR17" s="354"/>
      <c r="DS17" s="354"/>
      <c r="DT17" s="354"/>
      <c r="DU17" s="354"/>
      <c r="DV17" s="354"/>
      <c r="DW17" s="354"/>
      <c r="DX17" s="354"/>
      <c r="DY17" s="354"/>
      <c r="DZ17" s="354"/>
      <c r="EA17" s="354"/>
      <c r="EB17" s="354"/>
      <c r="EC17" s="354"/>
      <c r="ED17" s="354"/>
      <c r="EE17" s="354"/>
      <c r="EF17" s="354"/>
      <c r="EG17" s="354"/>
      <c r="EH17" s="354"/>
      <c r="EI17" s="354"/>
      <c r="EJ17" s="354"/>
      <c r="EK17" s="354"/>
      <c r="EL17" s="354"/>
      <c r="EM17" s="354"/>
      <c r="EN17" s="354"/>
      <c r="EO17" s="354"/>
      <c r="EP17" s="354"/>
      <c r="EQ17" s="354"/>
      <c r="ER17" s="354"/>
      <c r="ES17" s="354"/>
      <c r="ET17" s="354"/>
      <c r="EU17" s="354"/>
      <c r="EV17" s="354"/>
      <c r="EW17" s="354"/>
      <c r="EX17" s="354"/>
      <c r="EY17" s="354"/>
    </row>
    <row r="18" spans="1:155" s="1" customFormat="1" ht="18.75" customHeight="1" x14ac:dyDescent="0.25">
      <c r="A18" s="1719" t="s">
        <v>1007</v>
      </c>
      <c r="B18" s="1719"/>
      <c r="C18" s="1719"/>
      <c r="D18" s="1719"/>
      <c r="E18" s="2219"/>
      <c r="F18" s="956"/>
      <c r="G18" s="2183"/>
      <c r="H18" s="2183"/>
      <c r="I18" s="2183"/>
      <c r="J18" s="1027">
        <f t="shared" si="1"/>
        <v>0</v>
      </c>
      <c r="K18" s="1001">
        <v>6</v>
      </c>
      <c r="L18" s="1022" t="s">
        <v>946</v>
      </c>
      <c r="M18" s="1022"/>
      <c r="N18" s="1022"/>
      <c r="O18" s="1023"/>
      <c r="P18" s="1680"/>
      <c r="Q18" s="1681"/>
      <c r="R18" s="1682"/>
      <c r="S18" s="2216" t="str">
        <f t="shared" si="0"/>
        <v/>
      </c>
      <c r="T18" s="2217"/>
      <c r="U18" s="2192"/>
      <c r="V18" s="2193"/>
      <c r="W18" s="2194"/>
      <c r="X18" s="2199"/>
      <c r="Y18" s="2200"/>
      <c r="Z18" s="2201"/>
      <c r="AB18" s="131"/>
      <c r="AC18" s="969"/>
      <c r="AD18" s="223"/>
      <c r="AE18" s="223"/>
      <c r="AF18" s="223"/>
      <c r="AG18" s="223"/>
      <c r="AH18" s="223"/>
      <c r="AI18" s="223"/>
      <c r="AJ18" s="223"/>
      <c r="AK18" s="223"/>
      <c r="AL18" s="223"/>
      <c r="AM18" s="223"/>
      <c r="AN18" s="223"/>
      <c r="AO18" s="223"/>
      <c r="AP18" s="223"/>
      <c r="AQ18" s="131"/>
      <c r="AR18" s="131"/>
      <c r="AS18" s="131"/>
      <c r="AT18" s="135"/>
      <c r="AU18" s="135"/>
      <c r="AV18" s="135"/>
      <c r="AW18" s="135"/>
      <c r="AX18" s="135"/>
      <c r="AY18" s="135"/>
      <c r="AZ18" s="135"/>
      <c r="BA18" s="135"/>
      <c r="BB18" s="135"/>
      <c r="BC18" s="135"/>
      <c r="BD18" s="135"/>
      <c r="BE18" s="135"/>
      <c r="BF18" s="135"/>
      <c r="BG18" s="135"/>
      <c r="BH18" s="135"/>
      <c r="BI18" s="135"/>
      <c r="BJ18" s="135"/>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I18" s="605"/>
      <c r="DQ18" s="354"/>
      <c r="DR18" s="354"/>
      <c r="DS18" s="354"/>
      <c r="DT18" s="354"/>
      <c r="DU18" s="354"/>
      <c r="DV18" s="354"/>
      <c r="DW18" s="354"/>
      <c r="DX18" s="354"/>
      <c r="DY18" s="354"/>
      <c r="DZ18" s="354"/>
      <c r="EA18" s="354"/>
      <c r="EB18" s="354"/>
      <c r="EC18" s="354"/>
      <c r="ED18" s="354"/>
      <c r="EE18" s="354"/>
      <c r="EF18" s="354"/>
      <c r="EG18" s="354"/>
      <c r="EH18" s="354"/>
      <c r="EI18" s="354"/>
      <c r="EJ18" s="354"/>
      <c r="EK18" s="354"/>
      <c r="EL18" s="354"/>
      <c r="EM18" s="354"/>
      <c r="EN18" s="354"/>
      <c r="EO18" s="354"/>
      <c r="EP18" s="354"/>
      <c r="EQ18" s="354"/>
      <c r="ER18" s="354"/>
      <c r="ES18" s="354"/>
      <c r="ET18" s="354"/>
      <c r="EU18" s="354"/>
      <c r="EV18" s="354"/>
      <c r="EW18" s="354"/>
      <c r="EX18" s="354"/>
      <c r="EY18" s="354"/>
    </row>
    <row r="19" spans="1:155" s="1" customFormat="1" ht="18.75" customHeight="1" x14ac:dyDescent="0.2">
      <c r="A19" s="1719"/>
      <c r="B19" s="1719"/>
      <c r="C19" s="1719"/>
      <c r="D19" s="1719"/>
      <c r="E19" s="2219"/>
      <c r="F19" s="956"/>
      <c r="G19" s="2183"/>
      <c r="H19" s="2183"/>
      <c r="I19" s="2183"/>
      <c r="J19" s="1027">
        <f t="shared" si="1"/>
        <v>0</v>
      </c>
      <c r="K19" s="1001">
        <v>7</v>
      </c>
      <c r="L19" s="1022" t="s">
        <v>947</v>
      </c>
      <c r="M19" s="1022"/>
      <c r="N19" s="1022"/>
      <c r="O19" s="1023"/>
      <c r="P19" s="1680"/>
      <c r="Q19" s="1681"/>
      <c r="R19" s="1682"/>
      <c r="S19" s="2216" t="str">
        <f t="shared" si="0"/>
        <v/>
      </c>
      <c r="T19" s="2217"/>
      <c r="U19" s="2192"/>
      <c r="V19" s="2193"/>
      <c r="W19" s="2194"/>
      <c r="X19" s="2199"/>
      <c r="Y19" s="2200"/>
      <c r="Z19" s="2201"/>
      <c r="AB19" s="131"/>
      <c r="AC19" s="969"/>
      <c r="AD19" s="223"/>
      <c r="AE19" s="223"/>
      <c r="AF19" s="223"/>
      <c r="AG19" s="223"/>
      <c r="AH19" s="223"/>
      <c r="AI19" s="223"/>
      <c r="AJ19" s="223"/>
      <c r="AK19" s="223"/>
      <c r="AL19" s="223"/>
      <c r="AM19" s="223"/>
      <c r="AN19" s="223"/>
      <c r="AO19" s="223"/>
      <c r="AP19" s="223"/>
      <c r="AQ19" s="131"/>
      <c r="AR19" s="131"/>
      <c r="AS19" s="131"/>
      <c r="AT19" s="135"/>
      <c r="AU19" s="135"/>
      <c r="AV19" s="135"/>
      <c r="AW19" s="135"/>
      <c r="AX19" s="135"/>
      <c r="AY19" s="135"/>
      <c r="AZ19" s="135"/>
      <c r="BA19" s="135"/>
      <c r="BB19" s="135"/>
      <c r="BC19" s="135"/>
      <c r="BD19" s="135"/>
      <c r="BE19" s="135"/>
      <c r="BF19" s="135"/>
      <c r="BG19" s="135"/>
      <c r="BH19" s="135"/>
      <c r="BI19" s="135"/>
      <c r="BJ19" s="135"/>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I19" s="421"/>
      <c r="CJ19" s="606"/>
      <c r="CL19" s="606"/>
      <c r="DQ19" s="354"/>
      <c r="DR19" s="354"/>
      <c r="DS19" s="354"/>
      <c r="DT19" s="354"/>
      <c r="DU19" s="354"/>
      <c r="DV19" s="354"/>
      <c r="DW19" s="354"/>
      <c r="DX19" s="354"/>
      <c r="DY19" s="354"/>
      <c r="DZ19" s="354"/>
      <c r="EA19" s="354"/>
      <c r="EB19" s="354"/>
      <c r="EC19" s="354"/>
      <c r="ED19" s="354"/>
      <c r="EE19" s="354"/>
      <c r="EF19" s="354"/>
      <c r="EG19" s="354"/>
      <c r="EH19" s="354"/>
      <c r="EI19" s="354"/>
      <c r="EJ19" s="354"/>
      <c r="EK19" s="354"/>
      <c r="EL19" s="354"/>
      <c r="EM19" s="354"/>
      <c r="EN19" s="354"/>
      <c r="EO19" s="354"/>
      <c r="EP19" s="354"/>
      <c r="EQ19" s="354"/>
      <c r="ER19" s="354"/>
      <c r="ES19" s="354"/>
      <c r="ET19" s="354"/>
      <c r="EU19" s="354"/>
      <c r="EV19" s="354"/>
      <c r="EW19" s="354"/>
      <c r="EX19" s="354"/>
      <c r="EY19" s="354"/>
    </row>
    <row r="20" spans="1:155" s="1" customFormat="1" ht="18.75" customHeight="1" x14ac:dyDescent="0.25">
      <c r="A20" s="1719"/>
      <c r="B20" s="1719"/>
      <c r="C20" s="1719"/>
      <c r="D20" s="1719"/>
      <c r="E20" s="2219"/>
      <c r="F20" s="956"/>
      <c r="G20" s="2183"/>
      <c r="H20" s="2183"/>
      <c r="I20" s="2183"/>
      <c r="J20" s="1027">
        <f t="shared" si="1"/>
        <v>0</v>
      </c>
      <c r="K20" s="1001">
        <v>8</v>
      </c>
      <c r="L20" s="1022" t="s">
        <v>948</v>
      </c>
      <c r="M20" s="1022"/>
      <c r="N20" s="1022"/>
      <c r="O20" s="1023"/>
      <c r="P20" s="1680"/>
      <c r="Q20" s="1681"/>
      <c r="R20" s="1682"/>
      <c r="S20" s="2216" t="str">
        <f t="shared" si="0"/>
        <v/>
      </c>
      <c r="T20" s="2217"/>
      <c r="U20" s="2192"/>
      <c r="V20" s="2193"/>
      <c r="W20" s="2194"/>
      <c r="X20" s="2199"/>
      <c r="Y20" s="2200"/>
      <c r="Z20" s="2201"/>
      <c r="AB20" s="131"/>
      <c r="AC20" s="969"/>
      <c r="AD20" s="223"/>
      <c r="AE20" s="223"/>
      <c r="AF20" s="223"/>
      <c r="AG20" s="223"/>
      <c r="AH20" s="223"/>
      <c r="AI20" s="223"/>
      <c r="AJ20" s="223"/>
      <c r="AK20" s="223"/>
      <c r="AL20" s="223"/>
      <c r="AM20" s="223"/>
      <c r="AN20" s="223"/>
      <c r="AO20" s="223"/>
      <c r="AP20" s="223"/>
      <c r="AQ20" s="131"/>
      <c r="AR20" s="153"/>
      <c r="AS20" s="153"/>
      <c r="AT20" s="999"/>
      <c r="AU20" s="999"/>
      <c r="AV20" s="999"/>
      <c r="AW20" s="999"/>
      <c r="AX20" s="999"/>
      <c r="AY20" s="999"/>
      <c r="AZ20" s="135"/>
      <c r="BA20" s="135"/>
      <c r="BB20" s="135"/>
      <c r="BC20" s="135"/>
      <c r="BD20" s="135"/>
      <c r="BE20" s="135"/>
      <c r="BF20" s="135"/>
      <c r="BG20" s="135"/>
      <c r="BH20" s="135"/>
      <c r="BI20" s="135"/>
      <c r="BJ20" s="135"/>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I20" s="605"/>
      <c r="DQ20" s="354"/>
      <c r="DR20" s="354"/>
      <c r="DS20" s="354"/>
      <c r="DT20" s="354"/>
      <c r="DU20" s="354"/>
      <c r="DV20" s="354"/>
      <c r="DW20" s="354"/>
      <c r="DX20" s="354"/>
      <c r="DY20" s="354"/>
      <c r="DZ20" s="354"/>
      <c r="EA20" s="354"/>
      <c r="EB20" s="354"/>
      <c r="EC20" s="354"/>
      <c r="ED20" s="354"/>
      <c r="EE20" s="354"/>
      <c r="EF20" s="354"/>
      <c r="EG20" s="354"/>
      <c r="EH20" s="354"/>
      <c r="EI20" s="354"/>
      <c r="EJ20" s="354"/>
      <c r="EK20" s="354"/>
      <c r="EL20" s="354"/>
      <c r="EM20" s="354"/>
      <c r="EN20" s="354"/>
      <c r="EO20" s="354"/>
      <c r="EP20" s="354"/>
      <c r="EQ20" s="354"/>
      <c r="ER20" s="354"/>
      <c r="ES20" s="354"/>
      <c r="ET20" s="354"/>
      <c r="EU20" s="354"/>
      <c r="EV20" s="354"/>
      <c r="EW20" s="354"/>
      <c r="EX20" s="354"/>
      <c r="EY20" s="354"/>
    </row>
    <row r="21" spans="1:155" s="1" customFormat="1" ht="18.75" customHeight="1" x14ac:dyDescent="0.25">
      <c r="A21" s="1719" t="s">
        <v>1012</v>
      </c>
      <c r="B21" s="1719"/>
      <c r="C21" s="1719"/>
      <c r="D21" s="1719"/>
      <c r="E21" s="2219"/>
      <c r="F21" s="956"/>
      <c r="G21" s="2183"/>
      <c r="H21" s="2183"/>
      <c r="I21" s="2183"/>
      <c r="J21" s="51"/>
      <c r="K21" s="1001">
        <v>9</v>
      </c>
      <c r="L21" s="1022" t="s">
        <v>949</v>
      </c>
      <c r="M21" s="1022"/>
      <c r="N21" s="1022"/>
      <c r="O21" s="1023"/>
      <c r="P21" s="1680"/>
      <c r="Q21" s="1681"/>
      <c r="R21" s="1682"/>
      <c r="S21" s="2216" t="str">
        <f t="shared" si="0"/>
        <v/>
      </c>
      <c r="T21" s="2217"/>
      <c r="U21" s="2192"/>
      <c r="V21" s="2193"/>
      <c r="W21" s="2194"/>
      <c r="X21" s="2199"/>
      <c r="Y21" s="2200"/>
      <c r="Z21" s="2201"/>
      <c r="AB21" s="131"/>
      <c r="AC21" s="969"/>
      <c r="AD21" s="223"/>
      <c r="AE21" s="223"/>
      <c r="AF21" s="223"/>
      <c r="AG21" s="223"/>
      <c r="AH21" s="223"/>
      <c r="AI21" s="223"/>
      <c r="AJ21" s="223"/>
      <c r="AK21" s="223"/>
      <c r="AL21" s="223"/>
      <c r="AM21" s="223"/>
      <c r="AN21" s="223"/>
      <c r="AO21" s="223"/>
      <c r="AP21" s="223"/>
      <c r="AQ21" s="131"/>
      <c r="AR21" s="131"/>
      <c r="AS21" s="131"/>
      <c r="AT21" s="135"/>
      <c r="AU21" s="135"/>
      <c r="AV21" s="135"/>
      <c r="AW21" s="135"/>
      <c r="AX21" s="135"/>
      <c r="AY21" s="135"/>
      <c r="AZ21" s="135"/>
      <c r="BA21" s="135"/>
      <c r="BB21" s="135"/>
      <c r="BC21" s="135"/>
      <c r="BD21" s="135"/>
      <c r="BE21" s="135"/>
      <c r="BF21" s="135"/>
      <c r="BG21" s="135"/>
      <c r="BH21" s="135"/>
      <c r="BI21" s="135"/>
      <c r="BJ21" s="135"/>
      <c r="BK21" s="131"/>
      <c r="BL21" s="131"/>
      <c r="BM21" s="131"/>
      <c r="BN21" s="131"/>
      <c r="BO21" s="131"/>
      <c r="BP21" s="153"/>
      <c r="BQ21" s="153"/>
      <c r="BR21" s="153"/>
      <c r="BS21" s="153"/>
      <c r="BT21" s="153"/>
      <c r="BU21" s="153"/>
      <c r="BV21" s="153"/>
      <c r="BW21" s="153"/>
      <c r="BX21" s="153"/>
      <c r="BY21" s="153"/>
      <c r="BZ21" s="153"/>
      <c r="CA21" s="153"/>
      <c r="CB21" s="153"/>
      <c r="CC21" s="153"/>
      <c r="CD21" s="153"/>
      <c r="CE21" s="153"/>
      <c r="CF21" s="153"/>
      <c r="CG21" s="27"/>
      <c r="CH21" s="27"/>
      <c r="CI21" s="604"/>
      <c r="CJ21" s="27"/>
      <c r="CK21" s="27"/>
      <c r="CL21" s="27"/>
      <c r="CM21" s="27"/>
      <c r="CN21" s="27"/>
      <c r="CO21" s="27"/>
      <c r="CP21" s="27"/>
      <c r="CQ21" s="27"/>
      <c r="CR21" s="27"/>
      <c r="CS21" s="27"/>
      <c r="CT21" s="27"/>
      <c r="CU21" s="27"/>
      <c r="CV21" s="27"/>
      <c r="CW21" s="27"/>
      <c r="CX21" s="27"/>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row>
    <row r="22" spans="1:155" s="1" customFormat="1" ht="18.75" customHeight="1" x14ac:dyDescent="0.25">
      <c r="A22" s="1020" t="s">
        <v>19</v>
      </c>
      <c r="B22" s="1020"/>
      <c r="C22" s="1020"/>
      <c r="D22" s="1020"/>
      <c r="E22" s="2219"/>
      <c r="F22" s="956"/>
      <c r="G22" s="2183"/>
      <c r="H22" s="2183"/>
      <c r="I22" s="2183"/>
      <c r="J22" s="51"/>
      <c r="K22" s="1001">
        <v>10</v>
      </c>
      <c r="L22" s="1022" t="s">
        <v>950</v>
      </c>
      <c r="M22" s="1022"/>
      <c r="N22" s="1022"/>
      <c r="O22" s="1023"/>
      <c r="P22" s="1680"/>
      <c r="Q22" s="1681"/>
      <c r="R22" s="1682"/>
      <c r="S22" s="2216" t="str">
        <f t="shared" si="0"/>
        <v/>
      </c>
      <c r="T22" s="2217"/>
      <c r="U22" s="2192"/>
      <c r="V22" s="2193"/>
      <c r="W22" s="2194"/>
      <c r="X22" s="2199"/>
      <c r="Y22" s="2200"/>
      <c r="Z22" s="2201"/>
      <c r="AB22" s="131"/>
      <c r="AC22" s="969"/>
      <c r="AD22" s="223"/>
      <c r="AE22" s="223"/>
      <c r="AF22" s="223"/>
      <c r="AG22" s="223"/>
      <c r="AH22" s="223"/>
      <c r="AI22" s="223"/>
      <c r="AJ22" s="223"/>
      <c r="AK22" s="223"/>
      <c r="AL22" s="223"/>
      <c r="AM22" s="223"/>
      <c r="AN22" s="223"/>
      <c r="AO22" s="223"/>
      <c r="AP22" s="223"/>
      <c r="AQ22" s="131"/>
      <c r="AR22" s="131"/>
      <c r="AS22" s="131"/>
      <c r="AT22" s="135"/>
      <c r="AU22" s="135"/>
      <c r="AV22" s="135"/>
      <c r="AW22" s="135"/>
      <c r="AX22" s="135"/>
      <c r="AY22" s="135"/>
      <c r="AZ22" s="135"/>
      <c r="BA22" s="135"/>
      <c r="BB22" s="135"/>
      <c r="BC22" s="135"/>
      <c r="BD22" s="135"/>
      <c r="BE22" s="135"/>
      <c r="BF22" s="135"/>
      <c r="BG22" s="135"/>
      <c r="BH22" s="135"/>
      <c r="BI22" s="135"/>
      <c r="BJ22" s="135"/>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I22" s="605"/>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row>
    <row r="23" spans="1:155" s="1" customFormat="1" ht="18.75" customHeight="1" x14ac:dyDescent="0.2">
      <c r="A23" s="2206" t="s">
        <v>1015</v>
      </c>
      <c r="B23" s="2206"/>
      <c r="C23" s="2206"/>
      <c r="D23" s="2206"/>
      <c r="E23" s="2206"/>
      <c r="F23" s="1024"/>
      <c r="G23" s="2184">
        <f>SUM(J14:J20)</f>
        <v>0</v>
      </c>
      <c r="H23" s="2184"/>
      <c r="I23" s="2184"/>
      <c r="J23" s="1030"/>
      <c r="K23" s="2206" t="s">
        <v>1015</v>
      </c>
      <c r="L23" s="2206"/>
      <c r="M23" s="2206"/>
      <c r="N23" s="2206"/>
      <c r="O23" s="2206"/>
      <c r="P23" s="2184">
        <f>SUM(P13:P22)</f>
        <v>0</v>
      </c>
      <c r="Q23" s="2184"/>
      <c r="R23" s="2184"/>
      <c r="S23" s="2215" t="str">
        <f>IFERROR(+P25/$P$25,"")</f>
        <v/>
      </c>
      <c r="T23" s="2215"/>
      <c r="U23" s="2210">
        <f>SUM(U13:W22)</f>
        <v>0</v>
      </c>
      <c r="V23" s="2210"/>
      <c r="W23" s="2210"/>
      <c r="X23" s="1000" t="s">
        <v>951</v>
      </c>
      <c r="Y23" s="1000"/>
      <c r="Z23" s="1000"/>
      <c r="AB23" s="131"/>
      <c r="AC23" s="969"/>
      <c r="AD23" s="223"/>
      <c r="AE23" s="223"/>
      <c r="AF23" s="223"/>
      <c r="AG23" s="223"/>
      <c r="AH23" s="223"/>
      <c r="AI23" s="223"/>
      <c r="AJ23" s="223"/>
      <c r="AK23" s="223"/>
      <c r="AL23" s="223"/>
      <c r="AM23" s="223"/>
      <c r="AN23" s="223"/>
      <c r="AO23" s="223"/>
      <c r="AP23" s="223"/>
      <c r="AQ23" s="131"/>
      <c r="AR23" s="153"/>
      <c r="AS23" s="153"/>
      <c r="AT23" s="999"/>
      <c r="AU23" s="999"/>
      <c r="AV23" s="999"/>
      <c r="AW23" s="999"/>
      <c r="AX23" s="999"/>
      <c r="AY23" s="999"/>
      <c r="AZ23" s="135"/>
      <c r="BA23" s="135"/>
      <c r="BB23" s="135"/>
      <c r="BC23" s="135"/>
      <c r="BD23" s="135"/>
      <c r="BE23" s="135"/>
      <c r="BF23" s="135"/>
      <c r="BG23" s="135"/>
      <c r="BH23" s="135"/>
      <c r="BI23" s="135"/>
      <c r="BJ23" s="135"/>
      <c r="BK23" s="131"/>
      <c r="BL23" s="131"/>
      <c r="BM23" s="131"/>
      <c r="BN23" s="131"/>
      <c r="BO23" s="131"/>
      <c r="BP23" s="131"/>
      <c r="BQ23" s="131"/>
      <c r="BR23" s="131"/>
      <c r="BS23" s="131"/>
      <c r="BT23" s="131"/>
      <c r="BU23" s="131"/>
      <c r="BV23" s="131"/>
      <c r="BW23" s="131"/>
      <c r="BX23" s="131"/>
      <c r="BY23" s="131"/>
      <c r="BZ23" s="131"/>
      <c r="CA23" s="131"/>
      <c r="CB23" s="131"/>
      <c r="CC23" s="131"/>
      <c r="CD23" s="131"/>
      <c r="CE23" s="131"/>
      <c r="CF23" s="131"/>
      <c r="CI23" s="421"/>
      <c r="CJ23" s="606"/>
      <c r="CL23" s="606"/>
      <c r="DQ23" s="354"/>
      <c r="DR23" s="354"/>
      <c r="DS23" s="354"/>
      <c r="DT23" s="354"/>
      <c r="DU23" s="354"/>
      <c r="DV23" s="354"/>
      <c r="DW23" s="354"/>
      <c r="DX23" s="354"/>
      <c r="DY23" s="354"/>
      <c r="DZ23" s="354"/>
      <c r="EA23" s="354"/>
      <c r="EB23" s="354"/>
      <c r="EC23" s="354"/>
      <c r="ED23" s="354"/>
      <c r="EE23" s="354"/>
      <c r="EF23" s="354"/>
      <c r="EG23" s="354"/>
      <c r="EH23" s="354"/>
      <c r="EI23" s="354"/>
      <c r="EJ23" s="354"/>
      <c r="EK23" s="354"/>
      <c r="EL23" s="354"/>
      <c r="EM23" s="354"/>
      <c r="EN23" s="354"/>
      <c r="EO23" s="354"/>
      <c r="EP23" s="354"/>
      <c r="EQ23" s="354"/>
      <c r="ER23" s="354"/>
      <c r="ES23" s="354"/>
      <c r="ET23" s="354"/>
      <c r="EU23" s="354"/>
      <c r="EV23" s="354"/>
      <c r="EW23" s="354"/>
      <c r="EX23" s="354"/>
      <c r="EY23" s="354"/>
    </row>
    <row r="24" spans="1:155" s="1" customFormat="1" ht="18.75" customHeight="1" x14ac:dyDescent="0.25">
      <c r="J24" s="51"/>
      <c r="K24" s="1719" t="s">
        <v>1019</v>
      </c>
      <c r="L24" s="1719"/>
      <c r="M24" s="1719"/>
      <c r="N24" s="1719"/>
      <c r="O24" s="1720"/>
      <c r="P24" s="2212">
        <f>SUM(G15:I22)-G23</f>
        <v>0</v>
      </c>
      <c r="Q24" s="2213"/>
      <c r="R24" s="2214"/>
      <c r="S24" s="596"/>
      <c r="T24" s="996"/>
      <c r="U24" s="1680">
        <f>+P23-U23</f>
        <v>0</v>
      </c>
      <c r="V24" s="1681"/>
      <c r="W24" s="1682"/>
      <c r="X24" s="1000" t="s">
        <v>940</v>
      </c>
      <c r="Y24" s="1000"/>
      <c r="Z24" s="1000"/>
      <c r="AB24" s="131"/>
      <c r="AC24" s="969"/>
      <c r="AD24" s="223"/>
      <c r="AE24" s="223"/>
      <c r="AF24" s="223"/>
      <c r="AG24" s="223"/>
      <c r="AH24" s="223"/>
      <c r="AI24" s="223"/>
      <c r="AJ24" s="223"/>
      <c r="AK24" s="223"/>
      <c r="AL24" s="223"/>
      <c r="AM24" s="223"/>
      <c r="AN24" s="223"/>
      <c r="AO24" s="223"/>
      <c r="AP24" s="223"/>
      <c r="AQ24" s="131"/>
      <c r="AR24" s="131"/>
      <c r="AS24" s="131"/>
      <c r="AT24" s="135"/>
      <c r="AU24" s="135"/>
      <c r="AV24" s="135"/>
      <c r="AW24" s="135"/>
      <c r="AX24" s="135"/>
      <c r="AY24" s="135"/>
      <c r="AZ24" s="135"/>
      <c r="BA24" s="135"/>
      <c r="BB24" s="135"/>
      <c r="BC24" s="135"/>
      <c r="BD24" s="135"/>
      <c r="BE24" s="135"/>
      <c r="BF24" s="135"/>
      <c r="BG24" s="135"/>
      <c r="BH24" s="135"/>
      <c r="BI24" s="135"/>
      <c r="BJ24" s="135"/>
      <c r="BK24" s="131"/>
      <c r="BL24" s="131"/>
      <c r="BM24" s="131"/>
      <c r="BN24" s="131"/>
      <c r="BO24" s="131"/>
      <c r="BP24" s="131"/>
      <c r="BQ24" s="131"/>
      <c r="BR24" s="131"/>
      <c r="BS24" s="131"/>
      <c r="BT24" s="131"/>
      <c r="BU24" s="131"/>
      <c r="BV24" s="131"/>
      <c r="BW24" s="131"/>
      <c r="BX24" s="131"/>
      <c r="BY24" s="131"/>
      <c r="BZ24" s="131"/>
      <c r="CA24" s="131"/>
      <c r="CB24" s="131"/>
      <c r="CC24" s="131"/>
      <c r="CD24" s="131"/>
      <c r="CE24" s="131"/>
      <c r="CF24" s="131"/>
      <c r="CI24" s="605"/>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c r="EO24" s="354"/>
      <c r="EP24" s="354"/>
      <c r="EQ24" s="354"/>
      <c r="ER24" s="354"/>
      <c r="ES24" s="354"/>
      <c r="ET24" s="354"/>
      <c r="EU24" s="354"/>
      <c r="EV24" s="354"/>
      <c r="EW24" s="354"/>
      <c r="EX24" s="354"/>
      <c r="EY24" s="354"/>
    </row>
    <row r="25" spans="1:155" s="1" customFormat="1" ht="18.75" customHeight="1" x14ac:dyDescent="0.25">
      <c r="A25" s="1676" t="s">
        <v>952</v>
      </c>
      <c r="B25" s="1676"/>
      <c r="C25" s="1676"/>
      <c r="D25" s="1676"/>
      <c r="E25" s="1676"/>
      <c r="F25" s="1031"/>
      <c r="G25" s="2185">
        <f>+SUM(G14:I22)</f>
        <v>0</v>
      </c>
      <c r="H25" s="2185"/>
      <c r="I25" s="2185"/>
      <c r="J25" s="51"/>
      <c r="K25" s="1676" t="s">
        <v>952</v>
      </c>
      <c r="L25" s="1676"/>
      <c r="M25" s="1676"/>
      <c r="N25" s="1676"/>
      <c r="O25" s="2211"/>
      <c r="P25" s="2212">
        <f>SUM(P23:R24,P11)</f>
        <v>0</v>
      </c>
      <c r="Q25" s="2213"/>
      <c r="R25" s="2214"/>
      <c r="S25" s="596"/>
      <c r="T25" s="996"/>
      <c r="U25" s="930"/>
      <c r="V25" s="930"/>
      <c r="W25" s="930"/>
      <c r="X25" s="930"/>
      <c r="Y25" s="930"/>
      <c r="Z25" s="930"/>
      <c r="AB25" s="131"/>
      <c r="AC25" s="969"/>
      <c r="AD25" s="223"/>
      <c r="AE25" s="223"/>
      <c r="AF25" s="223"/>
      <c r="AG25" s="223"/>
      <c r="AH25" s="223"/>
      <c r="AI25" s="223"/>
      <c r="AJ25" s="223"/>
      <c r="AK25" s="223"/>
      <c r="AL25" s="223"/>
      <c r="AM25" s="223"/>
      <c r="AN25" s="223"/>
      <c r="AO25" s="223"/>
      <c r="AP25" s="223"/>
      <c r="AQ25" s="131"/>
      <c r="AR25" s="131"/>
      <c r="AS25" s="131"/>
      <c r="AT25" s="135"/>
      <c r="AU25" s="135"/>
      <c r="AV25" s="135"/>
      <c r="AW25" s="135"/>
      <c r="AX25" s="135"/>
      <c r="AY25" s="135"/>
      <c r="AZ25" s="135"/>
      <c r="BA25" s="135"/>
      <c r="BB25" s="135"/>
      <c r="BC25" s="135"/>
      <c r="BD25" s="135"/>
      <c r="BE25" s="135"/>
      <c r="BF25" s="135"/>
      <c r="BG25" s="135"/>
      <c r="BH25" s="135"/>
      <c r="BI25" s="135"/>
      <c r="BJ25" s="135"/>
      <c r="BK25" s="131"/>
      <c r="BL25" s="131"/>
      <c r="BM25" s="131"/>
      <c r="BN25" s="131"/>
      <c r="BO25" s="131"/>
      <c r="BP25" s="153"/>
      <c r="BQ25" s="153"/>
      <c r="BR25" s="153"/>
      <c r="BS25" s="153"/>
      <c r="BT25" s="153"/>
      <c r="BU25" s="153"/>
      <c r="BV25" s="153"/>
      <c r="BW25" s="153"/>
      <c r="BX25" s="153"/>
      <c r="BY25" s="153"/>
      <c r="BZ25" s="153"/>
      <c r="CA25" s="153"/>
      <c r="CB25" s="153"/>
      <c r="CC25" s="153"/>
      <c r="CD25" s="153"/>
      <c r="CE25" s="153"/>
      <c r="CF25" s="153"/>
      <c r="CG25" s="27"/>
      <c r="CH25" s="27"/>
      <c r="CI25" s="604"/>
      <c r="CJ25" s="27"/>
      <c r="CK25" s="27"/>
      <c r="CL25" s="27"/>
      <c r="CM25" s="27"/>
      <c r="CN25" s="27"/>
      <c r="CO25" s="27"/>
      <c r="CP25" s="27"/>
      <c r="CQ25" s="27"/>
      <c r="CR25" s="27"/>
      <c r="CS25" s="27"/>
      <c r="CT25" s="27"/>
      <c r="CU25" s="27"/>
      <c r="CV25" s="27"/>
      <c r="CW25" s="27"/>
      <c r="CX25" s="27"/>
      <c r="DQ25" s="354"/>
      <c r="DR25" s="354"/>
      <c r="DS25" s="354"/>
      <c r="DT25" s="354"/>
      <c r="DU25" s="354"/>
      <c r="DV25" s="354"/>
      <c r="DW25" s="354"/>
      <c r="DX25" s="354"/>
      <c r="DY25" s="354"/>
      <c r="DZ25" s="354"/>
      <c r="EA25" s="354"/>
      <c r="EB25" s="354"/>
      <c r="EC25" s="354"/>
      <c r="ED25" s="354"/>
      <c r="EE25" s="354"/>
      <c r="EF25" s="354"/>
      <c r="EG25" s="354"/>
      <c r="EH25" s="354"/>
      <c r="EI25" s="354"/>
      <c r="EJ25" s="354"/>
      <c r="EK25" s="354"/>
      <c r="EL25" s="354"/>
      <c r="EM25" s="354"/>
      <c r="EN25" s="354"/>
      <c r="EO25" s="354"/>
      <c r="EP25" s="354"/>
      <c r="EQ25" s="354"/>
      <c r="ER25" s="354"/>
      <c r="ES25" s="354"/>
      <c r="ET25" s="354"/>
      <c r="EU25" s="354"/>
      <c r="EV25" s="354"/>
      <c r="EW25" s="354"/>
      <c r="EX25" s="354"/>
      <c r="EY25" s="354"/>
    </row>
    <row r="26" spans="1:155" s="1" customFormat="1" ht="18.75" customHeight="1" x14ac:dyDescent="0.25">
      <c r="A26" s="2206" t="s">
        <v>1020</v>
      </c>
      <c r="B26" s="2206"/>
      <c r="C26" s="2206"/>
      <c r="D26" s="2206"/>
      <c r="E26" s="2206"/>
      <c r="F26" s="1024"/>
      <c r="G26" s="2185">
        <f>SUM(G11:I22)</f>
        <v>0</v>
      </c>
      <c r="H26" s="2185"/>
      <c r="I26" s="2185"/>
      <c r="J26" s="68"/>
      <c r="R26" s="759"/>
      <c r="U26" s="1003"/>
      <c r="V26" s="1004"/>
      <c r="W26" s="1004"/>
      <c r="X26" s="1004"/>
      <c r="Y26" s="1004"/>
      <c r="Z26" s="1004"/>
      <c r="AA26" s="68"/>
      <c r="AB26" s="820"/>
      <c r="AC26" s="969"/>
      <c r="AD26" s="223"/>
      <c r="AE26" s="223"/>
      <c r="AF26" s="223"/>
      <c r="AG26" s="223"/>
      <c r="AH26" s="223"/>
      <c r="AI26" s="223"/>
      <c r="AJ26" s="223"/>
      <c r="AK26" s="223"/>
      <c r="AL26" s="223"/>
      <c r="AM26" s="223"/>
      <c r="AN26" s="223"/>
      <c r="AO26" s="223"/>
      <c r="AP26" s="223"/>
      <c r="AQ26" s="131"/>
      <c r="AR26" s="153"/>
      <c r="AS26" s="153"/>
      <c r="AT26" s="999"/>
      <c r="AU26" s="999"/>
      <c r="AV26" s="999"/>
      <c r="AW26" s="999"/>
      <c r="AX26" s="999"/>
      <c r="AY26" s="999"/>
      <c r="AZ26" s="135"/>
      <c r="BA26" s="135"/>
      <c r="BB26" s="135"/>
      <c r="BC26" s="135"/>
      <c r="BD26" s="135"/>
      <c r="BE26" s="135"/>
      <c r="BF26" s="135"/>
      <c r="BG26" s="135"/>
      <c r="BH26" s="135"/>
      <c r="BI26" s="135"/>
      <c r="BJ26" s="135"/>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I26" s="605"/>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row>
    <row r="27" spans="1:155" s="1" customFormat="1" ht="18.75" customHeight="1" x14ac:dyDescent="0.2">
      <c r="L27" s="993"/>
      <c r="M27" s="993"/>
      <c r="N27" s="993"/>
      <c r="O27" s="993"/>
      <c r="P27" s="998"/>
      <c r="Q27" s="998"/>
      <c r="R27" s="998"/>
      <c r="S27" s="596"/>
      <c r="T27" s="930"/>
      <c r="U27" s="930"/>
      <c r="V27" s="930"/>
      <c r="W27" s="930"/>
      <c r="X27" s="930"/>
      <c r="Y27" s="930"/>
      <c r="Z27" s="930"/>
      <c r="AB27" s="131"/>
      <c r="AC27" s="969"/>
      <c r="AD27" s="223"/>
      <c r="AE27" s="223"/>
      <c r="AF27" s="223"/>
      <c r="AG27" s="223"/>
      <c r="AH27" s="223"/>
      <c r="AI27" s="223"/>
      <c r="AJ27" s="223"/>
      <c r="AK27" s="223"/>
      <c r="AL27" s="223"/>
      <c r="AM27" s="223"/>
      <c r="AN27" s="223"/>
      <c r="AO27" s="223"/>
      <c r="AP27" s="223"/>
      <c r="AQ27" s="820"/>
      <c r="AR27" s="131"/>
      <c r="AS27" s="131"/>
      <c r="AT27" s="135"/>
      <c r="AU27" s="135"/>
      <c r="AV27" s="135"/>
      <c r="AW27" s="135"/>
      <c r="AX27" s="135"/>
      <c r="AY27" s="135"/>
      <c r="AZ27" s="135"/>
      <c r="BA27" s="135"/>
      <c r="BB27" s="135"/>
      <c r="BC27" s="135"/>
      <c r="BD27" s="135"/>
      <c r="BE27" s="135"/>
      <c r="BF27" s="135"/>
      <c r="BG27" s="135"/>
      <c r="BH27" s="135"/>
      <c r="BI27" s="135"/>
      <c r="BJ27" s="135"/>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I27" s="421"/>
      <c r="CJ27" s="606"/>
      <c r="CL27" s="606"/>
      <c r="DQ27" s="354"/>
      <c r="DR27" s="354"/>
      <c r="DS27" s="354"/>
      <c r="DT27" s="354"/>
      <c r="DU27" s="354"/>
      <c r="DV27" s="354"/>
      <c r="DW27" s="354"/>
      <c r="DX27" s="354"/>
      <c r="DY27" s="354"/>
      <c r="DZ27" s="354"/>
      <c r="EA27" s="354"/>
      <c r="EB27" s="354"/>
      <c r="EC27" s="354"/>
      <c r="ED27" s="354"/>
      <c r="EE27" s="354"/>
      <c r="EF27" s="354"/>
      <c r="EG27" s="354"/>
      <c r="EH27" s="354"/>
      <c r="EI27" s="354"/>
      <c r="EJ27" s="354"/>
      <c r="EK27" s="354"/>
      <c r="EL27" s="354"/>
      <c r="EM27" s="354"/>
      <c r="EN27" s="354"/>
      <c r="EO27" s="354"/>
      <c r="EP27" s="354"/>
      <c r="EQ27" s="354"/>
      <c r="ER27" s="354"/>
      <c r="ES27" s="354"/>
      <c r="ET27" s="354"/>
      <c r="EU27" s="354"/>
      <c r="EV27" s="354"/>
      <c r="EW27" s="354"/>
      <c r="EX27" s="354"/>
      <c r="EY27" s="354"/>
    </row>
    <row r="28" spans="1:155" s="1" customFormat="1" ht="18.75" customHeight="1" x14ac:dyDescent="0.2">
      <c r="A28" s="2206" t="s">
        <v>1031</v>
      </c>
      <c r="B28" s="2206"/>
      <c r="C28" s="2206"/>
      <c r="D28" s="2206"/>
      <c r="E28" s="2206"/>
      <c r="F28" s="2235"/>
      <c r="G28" s="2237"/>
      <c r="H28" s="2238"/>
      <c r="I28" s="2239"/>
      <c r="J28" s="1021"/>
      <c r="K28" s="1021"/>
      <c r="L28" s="1022"/>
      <c r="M28" s="1022"/>
      <c r="N28" s="1022"/>
      <c r="O28" s="1022"/>
      <c r="P28" s="998"/>
      <c r="Q28" s="998"/>
      <c r="R28" s="998"/>
      <c r="S28" s="596"/>
      <c r="T28" s="930"/>
      <c r="U28" s="930"/>
      <c r="V28" s="930"/>
      <c r="W28" s="930"/>
      <c r="X28" s="930"/>
      <c r="Y28" s="930"/>
      <c r="Z28" s="930"/>
      <c r="AB28" s="131"/>
      <c r="AC28" s="969"/>
      <c r="AD28" s="223"/>
      <c r="AE28" s="223"/>
      <c r="AF28" s="223"/>
      <c r="AG28" s="223"/>
      <c r="AH28" s="223"/>
      <c r="AI28" s="223"/>
      <c r="AJ28" s="223"/>
      <c r="AK28" s="223"/>
      <c r="AL28" s="223"/>
      <c r="AM28" s="223"/>
      <c r="AN28" s="223"/>
      <c r="AO28" s="223"/>
      <c r="AP28" s="223"/>
      <c r="AQ28" s="820"/>
      <c r="AR28" s="131"/>
      <c r="AS28" s="131"/>
      <c r="AT28" s="135"/>
      <c r="AU28" s="135"/>
      <c r="AV28" s="135"/>
      <c r="AW28" s="135"/>
      <c r="AX28" s="135"/>
      <c r="AY28" s="135"/>
      <c r="AZ28" s="135"/>
      <c r="BA28" s="135"/>
      <c r="BB28" s="135"/>
      <c r="BC28" s="135"/>
      <c r="BD28" s="135"/>
      <c r="BE28" s="135"/>
      <c r="BF28" s="135"/>
      <c r="BG28" s="135"/>
      <c r="BH28" s="135"/>
      <c r="BI28" s="135"/>
      <c r="BJ28" s="135"/>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I28" s="421"/>
      <c r="CJ28" s="606"/>
      <c r="CL28" s="606"/>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row>
    <row r="29" spans="1:155" s="1" customFormat="1" ht="38.25" customHeight="1" x14ac:dyDescent="0.25">
      <c r="A29" s="2236" t="s">
        <v>1032</v>
      </c>
      <c r="B29" s="2236"/>
      <c r="C29" s="2236"/>
      <c r="D29" s="2236"/>
      <c r="E29" s="2236"/>
      <c r="F29" s="2236"/>
      <c r="G29" s="2236"/>
      <c r="H29" s="2236"/>
      <c r="I29" s="2236"/>
      <c r="T29" s="930"/>
      <c r="U29" s="930"/>
      <c r="V29" s="930"/>
      <c r="W29" s="930"/>
      <c r="X29" s="930"/>
      <c r="Y29" s="930"/>
      <c r="Z29" s="930"/>
      <c r="AB29" s="131"/>
      <c r="AC29" s="969"/>
      <c r="AD29" s="223"/>
      <c r="AE29" s="223"/>
      <c r="AF29" s="223"/>
      <c r="AG29" s="223"/>
      <c r="AH29" s="223"/>
      <c r="AI29" s="223"/>
      <c r="AJ29" s="223"/>
      <c r="AK29" s="223"/>
      <c r="AL29" s="223"/>
      <c r="AM29" s="223"/>
      <c r="AN29" s="223"/>
      <c r="AO29" s="223"/>
      <c r="AP29" s="223"/>
      <c r="AQ29" s="131"/>
      <c r="AR29" s="131"/>
      <c r="AS29" s="131"/>
      <c r="AT29" s="135"/>
      <c r="AU29" s="135"/>
      <c r="AV29" s="135"/>
      <c r="AW29" s="135"/>
      <c r="AX29" s="135"/>
      <c r="AY29" s="135"/>
      <c r="AZ29" s="135"/>
      <c r="BA29" s="135"/>
      <c r="BB29" s="135"/>
      <c r="BC29" s="135"/>
      <c r="BD29" s="135"/>
      <c r="BE29" s="135"/>
      <c r="BF29" s="135"/>
      <c r="BG29" s="135"/>
      <c r="BH29" s="135"/>
      <c r="BI29" s="135"/>
      <c r="BJ29" s="135"/>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I29" s="605"/>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row>
    <row r="30" spans="1:155" s="1" customFormat="1" ht="26.25" customHeight="1" x14ac:dyDescent="0.25">
      <c r="A30" s="1036"/>
      <c r="B30" s="1036"/>
      <c r="C30" s="1036"/>
      <c r="D30" s="1036"/>
      <c r="E30" s="1036"/>
      <c r="F30" s="1036"/>
      <c r="G30" s="1036"/>
      <c r="H30" s="1036"/>
      <c r="I30" s="1036"/>
      <c r="K30" s="1892" t="s">
        <v>1025</v>
      </c>
      <c r="L30" s="1892"/>
      <c r="M30" s="1892"/>
      <c r="N30" s="1892"/>
      <c r="O30" s="1892"/>
      <c r="P30" s="1892"/>
      <c r="Q30" s="1892"/>
      <c r="R30" s="1892"/>
      <c r="S30" s="1892"/>
      <c r="T30" s="930"/>
      <c r="U30" s="930"/>
      <c r="V30" s="930"/>
      <c r="W30" s="930"/>
      <c r="X30" s="930"/>
      <c r="Y30" s="930"/>
      <c r="Z30" s="930"/>
      <c r="AB30" s="131"/>
      <c r="AC30" s="969"/>
      <c r="AD30" s="223"/>
      <c r="AE30" s="223"/>
      <c r="AF30" s="223"/>
      <c r="AG30" s="223"/>
      <c r="AH30" s="223"/>
      <c r="AI30" s="223"/>
      <c r="AJ30" s="223"/>
      <c r="AK30" s="223"/>
      <c r="AL30" s="223"/>
      <c r="AM30" s="223"/>
      <c r="AN30" s="223"/>
      <c r="AO30" s="223"/>
      <c r="AP30" s="223"/>
      <c r="AQ30" s="131"/>
      <c r="AR30" s="131"/>
      <c r="AS30" s="131"/>
      <c r="AT30" s="135"/>
      <c r="AU30" s="135"/>
      <c r="AV30" s="135"/>
      <c r="AW30" s="135"/>
      <c r="AX30" s="135"/>
      <c r="AY30" s="135"/>
      <c r="AZ30" s="135"/>
      <c r="BA30" s="135"/>
      <c r="BB30" s="135"/>
      <c r="BC30" s="135"/>
      <c r="BD30" s="135"/>
      <c r="BE30" s="135"/>
      <c r="BF30" s="135"/>
      <c r="BG30" s="135"/>
      <c r="BH30" s="135"/>
      <c r="BI30" s="135"/>
      <c r="BJ30" s="135"/>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I30" s="605"/>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row>
    <row r="31" spans="1:155" s="1" customFormat="1" ht="18.75" customHeight="1" x14ac:dyDescent="0.25">
      <c r="A31" s="1036"/>
      <c r="B31" s="1036"/>
      <c r="C31" s="1036"/>
      <c r="D31" s="1036"/>
      <c r="E31" s="1036"/>
      <c r="F31" s="1036"/>
      <c r="G31" s="1036"/>
      <c r="H31" s="1036"/>
      <c r="I31" s="1036"/>
      <c r="K31" s="2229" t="s">
        <v>49</v>
      </c>
      <c r="L31" s="2229"/>
      <c r="M31" s="2229"/>
      <c r="N31" s="2229"/>
      <c r="O31" s="2230"/>
      <c r="P31" s="2226">
        <v>750000</v>
      </c>
      <c r="Q31" s="2227"/>
      <c r="R31" s="2228"/>
      <c r="S31" s="596"/>
      <c r="T31" s="2233" t="s">
        <v>1029</v>
      </c>
      <c r="U31" s="2233"/>
      <c r="V31" s="2233"/>
      <c r="W31" s="2233"/>
      <c r="X31" s="2233"/>
      <c r="Y31" s="2233"/>
      <c r="Z31" s="2233"/>
      <c r="AB31" s="131"/>
      <c r="AC31" s="969"/>
      <c r="AD31" s="223"/>
      <c r="AE31" s="223"/>
      <c r="AF31" s="223"/>
      <c r="AG31" s="223"/>
      <c r="AH31" s="223"/>
      <c r="AI31" s="223"/>
      <c r="AJ31" s="223"/>
      <c r="AK31" s="223"/>
      <c r="AL31" s="223"/>
      <c r="AM31" s="223"/>
      <c r="AN31" s="223"/>
      <c r="AO31" s="223"/>
      <c r="AP31" s="223"/>
      <c r="AQ31" s="131"/>
      <c r="AR31" s="153"/>
      <c r="AS31" s="153"/>
      <c r="AT31" s="999"/>
      <c r="AU31" s="999"/>
      <c r="AV31" s="999"/>
      <c r="AW31" s="999"/>
      <c r="AX31" s="999"/>
      <c r="AY31" s="999"/>
      <c r="AZ31" s="131"/>
      <c r="BA31" s="131"/>
      <c r="BB31" s="131"/>
      <c r="BC31" s="131"/>
      <c r="BD31" s="131"/>
      <c r="BE31" s="131"/>
      <c r="BF31" s="131"/>
      <c r="BG31" s="131"/>
      <c r="BH31" s="131"/>
      <c r="BI31" s="135"/>
      <c r="BJ31" s="135"/>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I31" s="422"/>
      <c r="CJ31" s="422"/>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row>
    <row r="32" spans="1:155" s="1" customFormat="1" ht="18.75" customHeight="1" x14ac:dyDescent="0.2">
      <c r="A32" s="1036"/>
      <c r="B32" s="1036"/>
      <c r="C32" s="1036"/>
      <c r="D32" s="1036"/>
      <c r="E32" s="1036"/>
      <c r="F32" s="1036"/>
      <c r="G32" s="1036"/>
      <c r="H32" s="1036"/>
      <c r="I32" s="1036"/>
      <c r="K32" s="2229" t="s">
        <v>1015</v>
      </c>
      <c r="L32" s="2229"/>
      <c r="M32" s="2229"/>
      <c r="N32" s="2229"/>
      <c r="O32" s="2230"/>
      <c r="P32" s="2222">
        <f>+PurchaseLoanAmount</f>
        <v>0</v>
      </c>
      <c r="Q32" s="2223"/>
      <c r="R32" s="2224"/>
      <c r="S32" s="596"/>
      <c r="T32" s="2232" t="s">
        <v>1027</v>
      </c>
      <c r="U32" s="2232"/>
      <c r="V32" s="2232"/>
      <c r="W32" s="2232"/>
      <c r="X32" s="2232"/>
      <c r="Y32" s="2232"/>
      <c r="Z32" s="2232"/>
      <c r="AB32" s="131"/>
      <c r="AC32" s="969"/>
      <c r="AD32" s="223"/>
      <c r="AE32" s="223"/>
      <c r="AF32" s="223"/>
      <c r="AG32" s="223"/>
      <c r="AH32" s="223"/>
      <c r="AI32" s="223"/>
      <c r="AJ32" s="223"/>
      <c r="AK32" s="223"/>
      <c r="AL32" s="223"/>
      <c r="AM32" s="223"/>
      <c r="AN32" s="223"/>
      <c r="AO32" s="223"/>
      <c r="AP32" s="223"/>
      <c r="AQ32" s="131"/>
      <c r="AR32" s="131"/>
      <c r="AS32" s="131"/>
      <c r="AT32" s="135"/>
      <c r="AU32" s="135"/>
      <c r="AV32" s="135"/>
      <c r="AW32" s="135"/>
      <c r="AX32" s="135"/>
      <c r="AY32" s="135"/>
      <c r="AZ32" s="131"/>
      <c r="BA32" s="131"/>
      <c r="BB32" s="131"/>
      <c r="BC32" s="131"/>
      <c r="BD32" s="131"/>
      <c r="BE32" s="131"/>
      <c r="BF32" s="131"/>
      <c r="BG32" s="131"/>
      <c r="BH32" s="131"/>
      <c r="BI32" s="135"/>
      <c r="BJ32" s="135"/>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DQ32" s="354"/>
      <c r="DR32" s="354"/>
      <c r="DS32" s="354"/>
      <c r="DT32" s="354"/>
      <c r="DU32" s="354"/>
      <c r="DV32" s="354"/>
      <c r="DW32" s="354"/>
      <c r="DX32" s="354"/>
      <c r="DY32" s="354"/>
      <c r="DZ32" s="354"/>
      <c r="EA32" s="354"/>
      <c r="EB32" s="354"/>
      <c r="EC32" s="354"/>
      <c r="ED32" s="354"/>
      <c r="EE32" s="354"/>
      <c r="EF32" s="354"/>
      <c r="EG32" s="354"/>
      <c r="EH32" s="354"/>
      <c r="EI32" s="354"/>
      <c r="EJ32" s="354"/>
      <c r="EK32" s="354"/>
      <c r="EL32" s="354"/>
      <c r="EM32" s="354"/>
      <c r="EN32" s="354"/>
      <c r="EO32" s="354"/>
      <c r="EP32" s="354"/>
      <c r="EQ32" s="354"/>
      <c r="ER32" s="354"/>
      <c r="ES32" s="354"/>
      <c r="ET32" s="354"/>
      <c r="EU32" s="354"/>
      <c r="EV32" s="354"/>
      <c r="EW32" s="354"/>
      <c r="EX32" s="354"/>
      <c r="EY32" s="354"/>
    </row>
    <row r="33" spans="1:155" s="1" customFormat="1" ht="19.5" customHeight="1" x14ac:dyDescent="0.25">
      <c r="A33" s="1022"/>
      <c r="B33" s="1022"/>
      <c r="C33" s="1022"/>
      <c r="D33" s="1022"/>
      <c r="E33" s="1022"/>
      <c r="F33" s="1034"/>
      <c r="G33" s="53"/>
      <c r="K33" s="2182" t="s">
        <v>1026</v>
      </c>
      <c r="L33" s="2182"/>
      <c r="M33" s="2182"/>
      <c r="N33" s="2182"/>
      <c r="O33" s="2231"/>
      <c r="P33" s="2225">
        <f>+P31-P32</f>
        <v>750000</v>
      </c>
      <c r="Q33" s="2225"/>
      <c r="R33" s="2225"/>
      <c r="S33" s="596"/>
      <c r="T33" s="2234" t="s">
        <v>1028</v>
      </c>
      <c r="U33" s="2234"/>
      <c r="V33" s="2234"/>
      <c r="W33" s="2234"/>
      <c r="X33" s="2234"/>
      <c r="Y33" s="2234"/>
      <c r="Z33" s="2234"/>
      <c r="AB33" s="131"/>
      <c r="AC33" s="969"/>
      <c r="AD33" s="223"/>
      <c r="AE33" s="223"/>
      <c r="AF33" s="223"/>
      <c r="AG33" s="223"/>
      <c r="AH33" s="223"/>
      <c r="AI33" s="223"/>
      <c r="AJ33" s="223"/>
      <c r="AK33" s="223"/>
      <c r="AL33" s="223"/>
      <c r="AM33" s="223"/>
      <c r="AN33" s="223"/>
      <c r="AO33" s="223"/>
      <c r="AP33" s="223"/>
      <c r="AQ33" s="131"/>
      <c r="AR33" s="131"/>
      <c r="AS33" s="131"/>
      <c r="AT33" s="135"/>
      <c r="AU33" s="135"/>
      <c r="AV33" s="135"/>
      <c r="AW33" s="135"/>
      <c r="AX33" s="135"/>
      <c r="AY33" s="135"/>
      <c r="AZ33" s="131"/>
      <c r="BA33" s="131"/>
      <c r="BB33" s="131"/>
      <c r="BC33" s="131"/>
      <c r="BD33" s="131"/>
      <c r="BE33" s="131"/>
      <c r="BF33" s="131"/>
      <c r="BG33" s="131"/>
      <c r="BH33" s="131"/>
      <c r="BI33" s="135"/>
      <c r="BJ33" s="135"/>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DQ33" s="354"/>
      <c r="DR33" s="354"/>
      <c r="DS33" s="354"/>
      <c r="DT33" s="354"/>
      <c r="DU33" s="354"/>
      <c r="DV33" s="354"/>
      <c r="DW33" s="354"/>
      <c r="DX33" s="354"/>
      <c r="DY33" s="354"/>
      <c r="DZ33" s="354"/>
      <c r="EA33" s="354"/>
      <c r="EB33" s="354"/>
      <c r="EC33" s="354"/>
      <c r="ED33" s="354"/>
      <c r="EE33" s="354"/>
      <c r="EF33" s="354"/>
      <c r="EG33" s="354"/>
      <c r="EH33" s="354"/>
      <c r="EI33" s="354"/>
      <c r="EJ33" s="354"/>
      <c r="EK33" s="354"/>
      <c r="EL33" s="354"/>
      <c r="EM33" s="354"/>
      <c r="EN33" s="354"/>
      <c r="EO33" s="354"/>
      <c r="EP33" s="354"/>
      <c r="EQ33" s="354"/>
      <c r="ER33" s="354"/>
      <c r="ES33" s="354"/>
      <c r="ET33" s="354"/>
      <c r="EU33" s="354"/>
      <c r="EV33" s="354"/>
      <c r="EW33" s="354"/>
      <c r="EX33" s="354"/>
      <c r="EY33" s="354"/>
    </row>
    <row r="34" spans="1:155" s="1" customFormat="1" ht="19.5" customHeight="1" x14ac:dyDescent="0.25">
      <c r="A34" s="1022"/>
      <c r="B34" s="1022"/>
      <c r="C34" s="1022"/>
      <c r="D34" s="1022"/>
      <c r="E34" s="1022"/>
      <c r="F34" s="1034"/>
      <c r="G34" s="53"/>
      <c r="L34" s="993"/>
      <c r="M34" s="993"/>
      <c r="N34" s="993"/>
      <c r="O34" s="993"/>
      <c r="S34" s="596"/>
      <c r="AB34" s="131"/>
      <c r="AC34" s="969"/>
      <c r="AD34" s="223"/>
      <c r="AE34" s="223"/>
      <c r="AF34" s="223"/>
      <c r="AG34" s="223"/>
      <c r="AH34" s="223"/>
      <c r="AI34" s="223"/>
      <c r="AJ34" s="223"/>
      <c r="AK34" s="223"/>
      <c r="AL34" s="223"/>
      <c r="AM34" s="223"/>
      <c r="AN34" s="223"/>
      <c r="AO34" s="223"/>
      <c r="AP34" s="223"/>
      <c r="AQ34" s="131"/>
      <c r="AR34" s="131"/>
      <c r="AS34" s="131"/>
      <c r="AT34" s="131"/>
      <c r="AU34" s="131"/>
      <c r="AV34" s="131"/>
      <c r="AW34" s="131"/>
      <c r="AX34" s="131"/>
      <c r="AY34" s="131"/>
      <c r="AZ34" s="131"/>
      <c r="BA34" s="131"/>
      <c r="BB34" s="131"/>
      <c r="BC34" s="131"/>
      <c r="BD34" s="131"/>
      <c r="BE34" s="131"/>
      <c r="BF34" s="131"/>
      <c r="BG34" s="131"/>
      <c r="BH34" s="131"/>
      <c r="BI34" s="135"/>
      <c r="BJ34" s="135"/>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DQ34" s="354"/>
      <c r="DR34" s="354"/>
      <c r="DS34" s="354"/>
      <c r="DT34" s="354"/>
      <c r="DU34" s="354"/>
      <c r="DV34" s="354"/>
      <c r="DW34" s="354"/>
      <c r="DX34" s="354"/>
      <c r="DY34" s="354"/>
      <c r="DZ34" s="354"/>
      <c r="EA34" s="354"/>
      <c r="EB34" s="354"/>
      <c r="EC34" s="354"/>
      <c r="ED34" s="354"/>
      <c r="EE34" s="354"/>
      <c r="EF34" s="354"/>
      <c r="EG34" s="354"/>
      <c r="EH34" s="354"/>
      <c r="EI34" s="354"/>
      <c r="EJ34" s="354"/>
      <c r="EK34" s="354"/>
      <c r="EL34" s="354"/>
      <c r="EM34" s="354"/>
      <c r="EN34" s="354"/>
      <c r="EO34" s="354"/>
      <c r="EP34" s="354"/>
      <c r="EQ34" s="354"/>
      <c r="ER34" s="354"/>
      <c r="ES34" s="354"/>
      <c r="ET34" s="354"/>
      <c r="EU34" s="354"/>
      <c r="EV34" s="354"/>
      <c r="EW34" s="354"/>
      <c r="EX34" s="354"/>
      <c r="EY34" s="354"/>
    </row>
    <row r="35" spans="1:155" s="1" customFormat="1" ht="19.5" customHeight="1" x14ac:dyDescent="0.2">
      <c r="A35" s="1022"/>
      <c r="B35" s="1022"/>
      <c r="C35" s="1022"/>
      <c r="D35" s="1022"/>
      <c r="E35" s="1022"/>
      <c r="F35" s="1034"/>
      <c r="G35" s="53"/>
      <c r="K35" s="1719" t="s">
        <v>1019</v>
      </c>
      <c r="L35" s="1719"/>
      <c r="M35" s="1719"/>
      <c r="N35" s="1719"/>
      <c r="O35" s="1720"/>
      <c r="P35" s="2212">
        <f>+P24</f>
        <v>0</v>
      </c>
      <c r="Q35" s="2213"/>
      <c r="R35" s="2214"/>
      <c r="S35" s="596"/>
      <c r="T35" s="2232" t="s">
        <v>1027</v>
      </c>
      <c r="U35" s="2232"/>
      <c r="V35" s="2232"/>
      <c r="W35" s="2232"/>
      <c r="X35" s="2232"/>
      <c r="Y35" s="2232"/>
      <c r="Z35" s="2232"/>
      <c r="AB35" s="131"/>
      <c r="AC35" s="969"/>
      <c r="AD35" s="223"/>
      <c r="AE35" s="223"/>
      <c r="AF35" s="223"/>
      <c r="AG35" s="223"/>
      <c r="AH35" s="223"/>
      <c r="AI35" s="223"/>
      <c r="AJ35" s="223"/>
      <c r="AK35" s="223"/>
      <c r="AL35" s="223"/>
      <c r="AM35" s="223"/>
      <c r="AN35" s="223"/>
      <c r="AO35" s="223"/>
      <c r="AP35" s="223"/>
      <c r="AQ35" s="131"/>
      <c r="AR35" s="131"/>
      <c r="AS35" s="131"/>
      <c r="AT35" s="131"/>
      <c r="AU35" s="131"/>
      <c r="AV35" s="131"/>
      <c r="AW35" s="131"/>
      <c r="AX35" s="131"/>
      <c r="AY35" s="131"/>
      <c r="AZ35" s="131"/>
      <c r="BA35" s="131"/>
      <c r="BB35" s="131"/>
      <c r="BC35" s="131"/>
      <c r="BD35" s="131"/>
      <c r="BE35" s="131"/>
      <c r="BF35" s="131"/>
      <c r="BG35" s="131"/>
      <c r="BH35" s="131"/>
      <c r="BI35" s="135"/>
      <c r="BJ35" s="135"/>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DQ35" s="354"/>
      <c r="DR35" s="354"/>
      <c r="DS35" s="354"/>
      <c r="DT35" s="354"/>
      <c r="DU35" s="354"/>
      <c r="DV35" s="354"/>
      <c r="DW35" s="354"/>
      <c r="DX35" s="354"/>
      <c r="DY35" s="354"/>
      <c r="DZ35" s="354"/>
      <c r="EA35" s="354"/>
      <c r="EB35" s="354"/>
      <c r="EC35" s="354"/>
      <c r="ED35" s="354"/>
      <c r="EE35" s="354"/>
      <c r="EF35" s="354"/>
      <c r="EG35" s="354"/>
      <c r="EH35" s="354"/>
      <c r="EI35" s="354"/>
      <c r="EJ35" s="354"/>
      <c r="EK35" s="354"/>
      <c r="EL35" s="354"/>
      <c r="EM35" s="354"/>
      <c r="EN35" s="354"/>
      <c r="EO35" s="354"/>
      <c r="EP35" s="354"/>
      <c r="EQ35" s="354"/>
      <c r="ER35" s="354"/>
      <c r="ES35" s="354"/>
      <c r="ET35" s="354"/>
      <c r="EU35" s="354"/>
      <c r="EV35" s="354"/>
      <c r="EW35" s="354"/>
      <c r="EX35" s="354"/>
      <c r="EY35" s="354"/>
    </row>
    <row r="36" spans="1:155" s="1" customFormat="1" ht="19.5" customHeight="1" x14ac:dyDescent="0.25">
      <c r="A36" s="653"/>
      <c r="B36" s="653"/>
      <c r="C36" s="653"/>
      <c r="D36" s="653"/>
      <c r="E36" s="653"/>
      <c r="F36" s="653"/>
      <c r="G36" s="653"/>
      <c r="H36" s="653"/>
      <c r="I36" s="653"/>
      <c r="K36" s="2182" t="s">
        <v>1026</v>
      </c>
      <c r="L36" s="2182"/>
      <c r="M36" s="2182"/>
      <c r="N36" s="2182"/>
      <c r="O36" s="2231"/>
      <c r="P36" s="2225">
        <f>+P33-P35</f>
        <v>750000</v>
      </c>
      <c r="Q36" s="2225"/>
      <c r="R36" s="2225"/>
      <c r="S36" s="596"/>
      <c r="T36" s="2234" t="s">
        <v>1030</v>
      </c>
      <c r="U36" s="2234"/>
      <c r="V36" s="2234"/>
      <c r="W36" s="2234"/>
      <c r="X36" s="2234"/>
      <c r="Y36" s="2234"/>
      <c r="Z36" s="2234"/>
      <c r="AB36" s="131"/>
      <c r="AC36" s="969"/>
      <c r="AD36" s="223"/>
      <c r="AE36" s="223"/>
      <c r="AF36" s="223"/>
      <c r="AG36" s="223"/>
      <c r="AH36" s="223"/>
      <c r="AI36" s="223"/>
      <c r="AJ36" s="223"/>
      <c r="AK36" s="223"/>
      <c r="AL36" s="223"/>
      <c r="AM36" s="223"/>
      <c r="AN36" s="223"/>
      <c r="AO36" s="223"/>
      <c r="AP36" s="223"/>
      <c r="AQ36" s="131"/>
      <c r="AR36" s="131"/>
      <c r="AS36" s="131"/>
      <c r="AT36" s="131"/>
      <c r="AU36" s="131"/>
      <c r="AV36" s="131"/>
      <c r="AW36" s="131"/>
      <c r="AX36" s="131"/>
      <c r="AY36" s="131"/>
      <c r="AZ36" s="131"/>
      <c r="BA36" s="131"/>
      <c r="BB36" s="131"/>
      <c r="BC36" s="131"/>
      <c r="BD36" s="131"/>
      <c r="BE36" s="131"/>
      <c r="BF36" s="131"/>
      <c r="BG36" s="131"/>
      <c r="BH36" s="131"/>
      <c r="BI36" s="135"/>
      <c r="BJ36" s="135"/>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DQ36" s="354"/>
      <c r="DR36" s="354"/>
      <c r="DS36" s="354"/>
      <c r="DT36" s="354"/>
      <c r="DU36" s="354"/>
      <c r="DV36" s="354"/>
      <c r="DW36" s="354"/>
      <c r="DX36" s="354"/>
      <c r="DY36" s="354"/>
      <c r="DZ36" s="354"/>
      <c r="EA36" s="354"/>
      <c r="EB36" s="354"/>
      <c r="EC36" s="354"/>
      <c r="ED36" s="354"/>
      <c r="EE36" s="354"/>
      <c r="EF36" s="354"/>
      <c r="EG36" s="354"/>
      <c r="EH36" s="354"/>
      <c r="EI36" s="354"/>
      <c r="EJ36" s="354"/>
      <c r="EK36" s="354"/>
      <c r="EL36" s="354"/>
      <c r="EM36" s="354"/>
      <c r="EN36" s="354"/>
      <c r="EO36" s="354"/>
      <c r="EP36" s="354"/>
      <c r="EQ36" s="354"/>
      <c r="ER36" s="354"/>
      <c r="ES36" s="354"/>
      <c r="ET36" s="354"/>
      <c r="EU36" s="354"/>
      <c r="EV36" s="354"/>
      <c r="EW36" s="354"/>
      <c r="EX36" s="354"/>
      <c r="EY36" s="354"/>
    </row>
    <row r="37" spans="1:155" s="1" customFormat="1" ht="19.5" customHeight="1" x14ac:dyDescent="0.25">
      <c r="A37" s="653"/>
      <c r="B37" s="653"/>
      <c r="C37" s="653"/>
      <c r="D37" s="653"/>
      <c r="E37" s="653"/>
      <c r="F37" s="653"/>
      <c r="G37" s="653"/>
      <c r="H37" s="653"/>
      <c r="I37" s="653"/>
      <c r="L37" s="993"/>
      <c r="M37" s="993"/>
      <c r="N37" s="993"/>
      <c r="O37" s="993"/>
      <c r="P37" s="998"/>
      <c r="Q37" s="998"/>
      <c r="R37" s="998"/>
      <c r="S37" s="596"/>
      <c r="T37" s="930"/>
      <c r="U37" s="930"/>
      <c r="V37" s="930"/>
      <c r="W37" s="930"/>
      <c r="X37" s="930"/>
      <c r="Y37" s="930"/>
      <c r="Z37" s="930"/>
      <c r="AB37" s="131"/>
      <c r="AC37" s="969"/>
      <c r="AD37" s="223"/>
      <c r="AE37" s="223"/>
      <c r="AF37" s="223"/>
      <c r="AG37" s="223"/>
      <c r="AH37" s="223"/>
      <c r="AI37" s="223"/>
      <c r="AJ37" s="223"/>
      <c r="AK37" s="223"/>
      <c r="AL37" s="223"/>
      <c r="AM37" s="223"/>
      <c r="AN37" s="223"/>
      <c r="AO37" s="223"/>
      <c r="AP37" s="223"/>
      <c r="AQ37" s="131"/>
      <c r="AR37" s="131"/>
      <c r="AS37" s="131"/>
      <c r="AT37" s="131"/>
      <c r="AU37" s="131"/>
      <c r="AV37" s="131"/>
      <c r="AW37" s="131"/>
      <c r="AX37" s="131"/>
      <c r="AY37" s="131"/>
      <c r="AZ37" s="131"/>
      <c r="BA37" s="131"/>
      <c r="BB37" s="131"/>
      <c r="BC37" s="131"/>
      <c r="BD37" s="131"/>
      <c r="BE37" s="131"/>
      <c r="BF37" s="131"/>
      <c r="BG37" s="131"/>
      <c r="BH37" s="131"/>
      <c r="BI37" s="135"/>
      <c r="BJ37" s="135"/>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DQ37" s="354"/>
      <c r="DR37" s="354"/>
      <c r="DS37" s="354"/>
      <c r="DT37" s="354"/>
      <c r="DU37" s="354"/>
      <c r="DV37" s="354"/>
      <c r="DW37" s="354"/>
      <c r="DX37" s="354"/>
      <c r="DY37" s="354"/>
      <c r="DZ37" s="354"/>
      <c r="EA37" s="354"/>
      <c r="EB37" s="354"/>
      <c r="EC37" s="354"/>
      <c r="ED37" s="354"/>
      <c r="EE37" s="354"/>
      <c r="EF37" s="354"/>
      <c r="EG37" s="354"/>
      <c r="EH37" s="354"/>
      <c r="EI37" s="354"/>
      <c r="EJ37" s="354"/>
      <c r="EK37" s="354"/>
      <c r="EL37" s="354"/>
      <c r="EM37" s="354"/>
      <c r="EN37" s="354"/>
      <c r="EO37" s="354"/>
      <c r="EP37" s="354"/>
      <c r="EQ37" s="354"/>
      <c r="ER37" s="354"/>
      <c r="ES37" s="354"/>
      <c r="ET37" s="354"/>
      <c r="EU37" s="354"/>
      <c r="EV37" s="354"/>
      <c r="EW37" s="354"/>
      <c r="EX37" s="354"/>
      <c r="EY37" s="354"/>
    </row>
    <row r="38" spans="1:155" s="1" customFormat="1" ht="19.5" customHeight="1" x14ac:dyDescent="0.25">
      <c r="A38" s="653"/>
      <c r="B38" s="653"/>
      <c r="C38" s="653"/>
      <c r="D38" s="653"/>
      <c r="E38" s="653"/>
      <c r="F38" s="653"/>
      <c r="G38" s="653"/>
      <c r="H38" s="653"/>
      <c r="I38" s="653"/>
      <c r="L38" s="993"/>
      <c r="M38" s="993"/>
      <c r="N38" s="993"/>
      <c r="O38" s="993"/>
      <c r="P38" s="998"/>
      <c r="Q38" s="998"/>
      <c r="R38" s="998"/>
      <c r="S38" s="596"/>
      <c r="T38" s="930"/>
      <c r="U38" s="930"/>
      <c r="V38" s="930"/>
      <c r="W38" s="930"/>
      <c r="X38" s="930"/>
      <c r="Y38" s="930"/>
      <c r="Z38" s="930"/>
      <c r="AB38" s="131"/>
      <c r="AC38" s="969"/>
      <c r="AD38" s="223"/>
      <c r="AE38" s="223"/>
      <c r="AF38" s="223"/>
      <c r="AG38" s="223"/>
      <c r="AH38" s="223"/>
      <c r="AI38" s="223"/>
      <c r="AJ38" s="223"/>
      <c r="AK38" s="223"/>
      <c r="AL38" s="223"/>
      <c r="AM38" s="223"/>
      <c r="AN38" s="223"/>
      <c r="AO38" s="223"/>
      <c r="AP38" s="223"/>
      <c r="AQ38" s="131"/>
      <c r="AR38" s="131"/>
      <c r="AS38" s="131"/>
      <c r="AT38" s="131"/>
      <c r="AU38" s="135"/>
      <c r="AV38" s="135"/>
      <c r="AW38" s="135"/>
      <c r="AX38" s="135"/>
      <c r="AY38" s="135"/>
      <c r="AZ38" s="135"/>
      <c r="BA38" s="135"/>
      <c r="BB38" s="135"/>
      <c r="BC38" s="135"/>
      <c r="BD38" s="135"/>
      <c r="BE38" s="135"/>
      <c r="BF38" s="135"/>
      <c r="BG38" s="135"/>
      <c r="BH38" s="135"/>
      <c r="BI38" s="135"/>
      <c r="BJ38" s="135"/>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DQ38" s="354"/>
      <c r="DR38" s="354"/>
      <c r="DS38" s="354"/>
      <c r="DT38" s="354"/>
      <c r="DU38" s="354"/>
      <c r="DV38" s="354"/>
      <c r="DW38" s="354"/>
      <c r="DX38" s="354"/>
      <c r="DY38" s="354"/>
      <c r="DZ38" s="354"/>
      <c r="EA38" s="354"/>
      <c r="EB38" s="354"/>
      <c r="EC38" s="354"/>
      <c r="ED38" s="354"/>
      <c r="EE38" s="354"/>
      <c r="EF38" s="354"/>
      <c r="EG38" s="354"/>
      <c r="EH38" s="354"/>
      <c r="EI38" s="354"/>
      <c r="EJ38" s="354"/>
      <c r="EK38" s="354"/>
      <c r="EL38" s="354"/>
      <c r="EM38" s="354"/>
      <c r="EN38" s="354"/>
      <c r="EO38" s="354"/>
      <c r="EP38" s="354"/>
      <c r="EQ38" s="354"/>
      <c r="ER38" s="354"/>
      <c r="ES38" s="354"/>
      <c r="ET38" s="354"/>
      <c r="EU38" s="354"/>
      <c r="EV38" s="354"/>
      <c r="EW38" s="354"/>
      <c r="EX38" s="354"/>
      <c r="EY38" s="354"/>
    </row>
    <row r="39" spans="1:155" s="1" customFormat="1" ht="19.5" customHeight="1" x14ac:dyDescent="0.25">
      <c r="A39" s="653"/>
      <c r="B39" s="653"/>
      <c r="C39" s="653"/>
      <c r="D39" s="653"/>
      <c r="E39" s="653"/>
      <c r="F39" s="653"/>
      <c r="G39" s="653"/>
      <c r="H39" s="653"/>
      <c r="I39" s="653"/>
      <c r="L39" s="993"/>
      <c r="M39" s="993"/>
      <c r="N39" s="993"/>
      <c r="O39" s="993"/>
      <c r="P39" s="998"/>
      <c r="Q39" s="998"/>
      <c r="R39" s="998"/>
      <c r="S39" s="596"/>
      <c r="T39" s="930"/>
      <c r="U39" s="930"/>
      <c r="V39" s="930"/>
      <c r="W39" s="930"/>
      <c r="X39" s="930"/>
      <c r="Y39" s="930"/>
      <c r="Z39" s="930"/>
      <c r="AB39" s="131"/>
      <c r="AC39" s="131"/>
      <c r="AD39" s="131"/>
      <c r="AE39" s="131"/>
      <c r="AF39" s="131"/>
      <c r="AG39" s="131"/>
      <c r="AH39" s="131"/>
      <c r="AI39" s="131"/>
      <c r="AJ39" s="131"/>
      <c r="AK39" s="131"/>
      <c r="AL39" s="131"/>
      <c r="AM39" s="131"/>
      <c r="AN39" s="131"/>
      <c r="AO39" s="131"/>
      <c r="AP39" s="131"/>
      <c r="AQ39" s="131"/>
      <c r="AR39" s="131"/>
      <c r="AS39" s="131"/>
      <c r="AT39" s="131"/>
      <c r="AU39" s="135"/>
      <c r="AV39" s="135"/>
      <c r="AW39" s="135"/>
      <c r="AX39" s="135"/>
      <c r="AY39" s="135"/>
      <c r="AZ39" s="135"/>
      <c r="BA39" s="135"/>
      <c r="BB39" s="135"/>
      <c r="BC39" s="135"/>
      <c r="BD39" s="135"/>
      <c r="BE39" s="135"/>
      <c r="BF39" s="135"/>
      <c r="BG39" s="135"/>
      <c r="BH39" s="135"/>
      <c r="BI39" s="135"/>
      <c r="BJ39" s="135"/>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DQ39" s="354"/>
      <c r="DR39" s="354"/>
      <c r="DS39" s="354"/>
      <c r="DT39" s="354"/>
      <c r="DU39" s="354"/>
      <c r="DV39" s="354"/>
      <c r="DW39" s="354"/>
      <c r="DX39" s="354"/>
      <c r="DY39" s="354"/>
      <c r="DZ39" s="354"/>
      <c r="EA39" s="354"/>
      <c r="EB39" s="354"/>
      <c r="EC39" s="354"/>
      <c r="ED39" s="354"/>
      <c r="EE39" s="354"/>
      <c r="EF39" s="354"/>
      <c r="EG39" s="354"/>
      <c r="EH39" s="354"/>
      <c r="EI39" s="354"/>
      <c r="EJ39" s="354"/>
      <c r="EK39" s="354"/>
      <c r="EL39" s="354"/>
      <c r="EM39" s="354"/>
      <c r="EN39" s="354"/>
      <c r="EO39" s="354"/>
      <c r="EP39" s="354"/>
      <c r="EQ39" s="354"/>
      <c r="ER39" s="354"/>
      <c r="ES39" s="354"/>
      <c r="ET39" s="354"/>
      <c r="EU39" s="354"/>
      <c r="EV39" s="354"/>
      <c r="EW39" s="354"/>
      <c r="EX39" s="354"/>
      <c r="EY39" s="354"/>
    </row>
    <row r="40" spans="1:155" s="1" customFormat="1" ht="19.5" customHeight="1" x14ac:dyDescent="0.25">
      <c r="A40" s="653"/>
      <c r="B40" s="653"/>
      <c r="C40" s="653"/>
      <c r="D40" s="653"/>
      <c r="E40" s="653"/>
      <c r="F40" s="653"/>
      <c r="G40" s="653"/>
      <c r="H40" s="653"/>
      <c r="I40" s="653"/>
      <c r="L40" s="993"/>
      <c r="M40" s="993"/>
      <c r="N40" s="993"/>
      <c r="O40" s="993"/>
      <c r="P40" s="998"/>
      <c r="Q40" s="998"/>
      <c r="R40" s="998"/>
      <c r="S40" s="596"/>
      <c r="T40" s="930"/>
      <c r="U40" s="930"/>
      <c r="V40" s="930"/>
      <c r="W40" s="930"/>
      <c r="X40" s="930"/>
      <c r="Y40" s="930"/>
      <c r="Z40" s="930"/>
      <c r="AB40" s="131"/>
      <c r="AC40" s="131"/>
      <c r="AD40" s="131"/>
      <c r="AE40" s="131"/>
      <c r="AF40" s="131"/>
      <c r="AG40" s="131"/>
      <c r="AH40" s="131"/>
      <c r="AI40" s="131"/>
      <c r="AJ40" s="131"/>
      <c r="AK40" s="131"/>
      <c r="AL40" s="131"/>
      <c r="AM40" s="131"/>
      <c r="AN40" s="131"/>
      <c r="AO40" s="131"/>
      <c r="AP40" s="131"/>
      <c r="AQ40" s="131"/>
      <c r="AR40" s="131"/>
      <c r="AS40" s="131"/>
      <c r="AT40" s="135"/>
      <c r="AU40" s="135"/>
      <c r="AV40" s="135"/>
      <c r="AW40" s="135"/>
      <c r="AX40" s="135"/>
      <c r="AY40" s="135"/>
      <c r="AZ40" s="135"/>
      <c r="BA40" s="135"/>
      <c r="BB40" s="135"/>
      <c r="BC40" s="135"/>
      <c r="BD40" s="135"/>
      <c r="BE40" s="135"/>
      <c r="BF40" s="135"/>
      <c r="BG40" s="135"/>
      <c r="BH40" s="135"/>
      <c r="BI40" s="135"/>
      <c r="BJ40" s="135"/>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DQ40" s="354"/>
      <c r="DR40" s="354"/>
      <c r="DS40" s="354"/>
      <c r="DT40" s="354"/>
      <c r="DU40" s="354"/>
      <c r="DV40" s="354"/>
      <c r="DW40" s="354"/>
      <c r="DX40" s="354"/>
      <c r="DY40" s="354"/>
      <c r="DZ40" s="354"/>
      <c r="EA40" s="354"/>
      <c r="EB40" s="354"/>
      <c r="EC40" s="354"/>
      <c r="ED40" s="354"/>
      <c r="EE40" s="354"/>
      <c r="EF40" s="354"/>
      <c r="EG40" s="354"/>
      <c r="EH40" s="354"/>
      <c r="EI40" s="354"/>
      <c r="EJ40" s="354"/>
      <c r="EK40" s="354"/>
      <c r="EL40" s="354"/>
      <c r="EM40" s="354"/>
      <c r="EN40" s="354"/>
      <c r="EO40" s="354"/>
      <c r="EP40" s="354"/>
      <c r="EQ40" s="354"/>
      <c r="ER40" s="354"/>
      <c r="ES40" s="354"/>
      <c r="ET40" s="354"/>
      <c r="EU40" s="354"/>
      <c r="EV40" s="354"/>
      <c r="EW40" s="354"/>
      <c r="EX40" s="354"/>
      <c r="EY40" s="354"/>
    </row>
    <row r="41" spans="1:155" s="1" customFormat="1" ht="11.65" customHeight="1" x14ac:dyDescent="0.25">
      <c r="A41" s="653"/>
      <c r="B41" s="653"/>
      <c r="C41" s="653"/>
      <c r="D41" s="653"/>
      <c r="E41" s="653"/>
      <c r="F41" s="653"/>
      <c r="G41" s="653"/>
      <c r="H41" s="653"/>
      <c r="I41" s="653"/>
      <c r="L41" s="993"/>
      <c r="M41" s="993"/>
      <c r="N41" s="993"/>
      <c r="O41" s="993"/>
      <c r="P41" s="998"/>
      <c r="Q41" s="998"/>
      <c r="R41" s="998"/>
      <c r="S41" s="596"/>
      <c r="T41" s="930"/>
      <c r="U41" s="930"/>
      <c r="V41" s="930"/>
      <c r="W41" s="930"/>
      <c r="X41" s="930"/>
      <c r="Y41" s="930"/>
      <c r="Z41" s="930"/>
      <c r="AB41" s="131"/>
      <c r="AC41" s="131"/>
      <c r="AD41" s="131"/>
      <c r="AE41" s="131"/>
      <c r="AF41" s="131"/>
      <c r="AG41" s="131"/>
      <c r="AH41" s="131"/>
      <c r="AI41" s="131"/>
      <c r="AJ41" s="131"/>
      <c r="AK41" s="131"/>
      <c r="AL41" s="131"/>
      <c r="AM41" s="131"/>
      <c r="AN41" s="131"/>
      <c r="AO41" s="131"/>
      <c r="AP41" s="131"/>
      <c r="AQ41" s="131"/>
      <c r="AR41" s="131"/>
      <c r="AS41" s="131"/>
      <c r="AT41" s="135"/>
      <c r="AU41" s="135"/>
      <c r="AV41" s="135"/>
      <c r="AW41" s="135"/>
      <c r="AX41" s="135"/>
      <c r="AY41" s="135"/>
      <c r="AZ41" s="135"/>
      <c r="BA41" s="135"/>
      <c r="BB41" s="135"/>
      <c r="BC41" s="135"/>
      <c r="BD41" s="135"/>
      <c r="BE41" s="135"/>
      <c r="BF41" s="135"/>
      <c r="BG41" s="135"/>
      <c r="BH41" s="135"/>
      <c r="BI41" s="135"/>
      <c r="BJ41" s="135"/>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DQ41" s="354"/>
      <c r="DR41" s="354"/>
      <c r="DS41" s="354"/>
      <c r="DT41" s="354"/>
      <c r="DU41" s="354"/>
      <c r="DV41" s="354"/>
      <c r="DW41" s="354"/>
      <c r="DX41" s="354"/>
      <c r="DY41" s="354"/>
      <c r="DZ41" s="354"/>
      <c r="EA41" s="354"/>
      <c r="EB41" s="354"/>
      <c r="EC41" s="354"/>
      <c r="ED41" s="354"/>
      <c r="EE41" s="354"/>
      <c r="EF41" s="354"/>
      <c r="EG41" s="354"/>
      <c r="EH41" s="354"/>
      <c r="EI41" s="354"/>
      <c r="EJ41" s="354"/>
      <c r="EK41" s="354"/>
      <c r="EL41" s="354"/>
      <c r="EM41" s="354"/>
      <c r="EN41" s="354"/>
      <c r="EO41" s="354"/>
      <c r="EP41" s="354"/>
      <c r="EQ41" s="354"/>
      <c r="ER41" s="354"/>
      <c r="ES41" s="354"/>
      <c r="ET41" s="354"/>
      <c r="EU41" s="354"/>
      <c r="EV41" s="354"/>
      <c r="EW41" s="354"/>
      <c r="EX41" s="354"/>
      <c r="EY41" s="354"/>
    </row>
    <row r="42" spans="1:155" ht="15" x14ac:dyDescent="0.25">
      <c r="A42" s="30"/>
      <c r="B42" s="30"/>
      <c r="C42" s="30"/>
      <c r="D42" s="30"/>
      <c r="E42" s="30"/>
      <c r="F42" s="30"/>
      <c r="G42" s="30"/>
      <c r="H42" s="30"/>
      <c r="I42" s="30"/>
      <c r="J42" s="1"/>
      <c r="K42" s="1"/>
      <c r="L42" s="993"/>
      <c r="M42" s="993"/>
      <c r="N42" s="993"/>
      <c r="O42" s="993"/>
      <c r="P42" s="998"/>
      <c r="Q42" s="30"/>
      <c r="R42" s="30"/>
      <c r="AA42" s="27"/>
      <c r="AB42" s="153"/>
      <c r="AC42" s="131"/>
      <c r="AD42" s="131"/>
      <c r="AE42" s="131"/>
      <c r="AF42" s="131"/>
      <c r="AG42" s="131"/>
      <c r="AH42" s="131"/>
      <c r="AI42" s="131"/>
      <c r="AJ42" s="131"/>
      <c r="AK42" s="131"/>
      <c r="AL42" s="131"/>
      <c r="AM42" s="131"/>
      <c r="AN42" s="131"/>
      <c r="AO42" s="131"/>
      <c r="AP42" s="131"/>
      <c r="AQ42" s="131"/>
      <c r="AR42" s="131"/>
      <c r="AS42" s="131"/>
      <c r="AT42" s="135"/>
      <c r="CI42" s="1"/>
      <c r="CJ42" s="1"/>
    </row>
    <row r="43" spans="1:155" ht="18.75" customHeight="1" x14ac:dyDescent="0.25">
      <c r="J43" s="30"/>
      <c r="K43" s="30"/>
      <c r="L43" s="30"/>
      <c r="M43" s="30"/>
      <c r="N43" s="30"/>
      <c r="O43" s="30"/>
      <c r="P43" s="31"/>
      <c r="Q43" s="30"/>
      <c r="R43" s="30"/>
      <c r="AC43" s="153"/>
      <c r="AD43" s="153"/>
      <c r="AE43" s="153"/>
      <c r="AF43" s="153"/>
      <c r="AG43" s="153"/>
      <c r="AH43" s="153"/>
      <c r="AI43" s="153"/>
      <c r="AJ43" s="153"/>
      <c r="AK43" s="153"/>
      <c r="AL43" s="153"/>
      <c r="AM43" s="153"/>
      <c r="AN43" s="153"/>
      <c r="AO43" s="153"/>
      <c r="AP43" s="153"/>
      <c r="AQ43" s="153"/>
      <c r="AR43" s="131"/>
      <c r="AS43" s="131"/>
      <c r="AT43" s="135"/>
    </row>
    <row r="44" spans="1:155" ht="18.75" customHeight="1" x14ac:dyDescent="0.25">
      <c r="AR44" s="153"/>
      <c r="AS44" s="153"/>
    </row>
  </sheetData>
  <mergeCells count="130">
    <mergeCell ref="K30:S30"/>
    <mergeCell ref="K35:O35"/>
    <mergeCell ref="P35:R35"/>
    <mergeCell ref="K36:O36"/>
    <mergeCell ref="P36:R36"/>
    <mergeCell ref="T36:Z36"/>
    <mergeCell ref="T35:Z35"/>
    <mergeCell ref="A28:F28"/>
    <mergeCell ref="A29:I29"/>
    <mergeCell ref="G28:I28"/>
    <mergeCell ref="V3:X3"/>
    <mergeCell ref="V4:X4"/>
    <mergeCell ref="V5:X5"/>
    <mergeCell ref="V6:X6"/>
    <mergeCell ref="P32:R32"/>
    <mergeCell ref="P33:R33"/>
    <mergeCell ref="P31:R31"/>
    <mergeCell ref="K31:O31"/>
    <mergeCell ref="K32:O32"/>
    <mergeCell ref="K33:O33"/>
    <mergeCell ref="T32:Z32"/>
    <mergeCell ref="T31:Z31"/>
    <mergeCell ref="T33:Z33"/>
    <mergeCell ref="K11:O11"/>
    <mergeCell ref="K24:O24"/>
    <mergeCell ref="X21:Z21"/>
    <mergeCell ref="X22:Z22"/>
    <mergeCell ref="X17:Z17"/>
    <mergeCell ref="X18:Z18"/>
    <mergeCell ref="X19:Z19"/>
    <mergeCell ref="X20:Z20"/>
    <mergeCell ref="S19:T19"/>
    <mergeCell ref="U19:W19"/>
    <mergeCell ref="S20:T20"/>
    <mergeCell ref="A25:E25"/>
    <mergeCell ref="R3:U3"/>
    <mergeCell ref="A6:Q6"/>
    <mergeCell ref="R4:U4"/>
    <mergeCell ref="R6:U6"/>
    <mergeCell ref="G25:I25"/>
    <mergeCell ref="A14:D14"/>
    <mergeCell ref="A15:D15"/>
    <mergeCell ref="A16:D16"/>
    <mergeCell ref="A17:D17"/>
    <mergeCell ref="A18:D18"/>
    <mergeCell ref="A19:D19"/>
    <mergeCell ref="A21:D21"/>
    <mergeCell ref="G21:I21"/>
    <mergeCell ref="G22:I22"/>
    <mergeCell ref="E14:E22"/>
    <mergeCell ref="A20:D20"/>
    <mergeCell ref="A23:E23"/>
    <mergeCell ref="S13:T13"/>
    <mergeCell ref="U13:W13"/>
    <mergeCell ref="S17:T17"/>
    <mergeCell ref="U17:W17"/>
    <mergeCell ref="S18:T18"/>
    <mergeCell ref="U18:W18"/>
    <mergeCell ref="A26:E26"/>
    <mergeCell ref="A12:E12"/>
    <mergeCell ref="F11:F13"/>
    <mergeCell ref="K23:O23"/>
    <mergeCell ref="P23:R23"/>
    <mergeCell ref="U23:W23"/>
    <mergeCell ref="U24:W24"/>
    <mergeCell ref="K25:O25"/>
    <mergeCell ref="P25:R25"/>
    <mergeCell ref="S23:T23"/>
    <mergeCell ref="P21:R21"/>
    <mergeCell ref="S21:T21"/>
    <mergeCell ref="U21:W21"/>
    <mergeCell ref="P24:R24"/>
    <mergeCell ref="P22:R22"/>
    <mergeCell ref="S22:T22"/>
    <mergeCell ref="U22:W22"/>
    <mergeCell ref="S14:T14"/>
    <mergeCell ref="U14:W14"/>
    <mergeCell ref="S15:T15"/>
    <mergeCell ref="U15:W15"/>
    <mergeCell ref="S16:T16"/>
    <mergeCell ref="U16:W16"/>
    <mergeCell ref="P18:R18"/>
    <mergeCell ref="U20:W20"/>
    <mergeCell ref="X13:Z13"/>
    <mergeCell ref="X14:Z14"/>
    <mergeCell ref="X15:Z15"/>
    <mergeCell ref="X16:Z16"/>
    <mergeCell ref="A1:O1"/>
    <mergeCell ref="A2:Z2"/>
    <mergeCell ref="A3:E3"/>
    <mergeCell ref="G3:Q3"/>
    <mergeCell ref="A4:E4"/>
    <mergeCell ref="G4:I4"/>
    <mergeCell ref="P1:V1"/>
    <mergeCell ref="A11:E11"/>
    <mergeCell ref="G11:I11"/>
    <mergeCell ref="P11:R11"/>
    <mergeCell ref="A8:R8"/>
    <mergeCell ref="T8:W8"/>
    <mergeCell ref="X8:Y8"/>
    <mergeCell ref="A10:I10"/>
    <mergeCell ref="A7:I7"/>
    <mergeCell ref="T7:W7"/>
    <mergeCell ref="X7:Y7"/>
    <mergeCell ref="X11:Z11"/>
    <mergeCell ref="U10:W10"/>
    <mergeCell ref="A13:E13"/>
    <mergeCell ref="G20:I20"/>
    <mergeCell ref="G23:I23"/>
    <mergeCell ref="G26:I26"/>
    <mergeCell ref="X9:Y9"/>
    <mergeCell ref="G16:I16"/>
    <mergeCell ref="P17:R17"/>
    <mergeCell ref="G18:I18"/>
    <mergeCell ref="P19:R19"/>
    <mergeCell ref="G17:I17"/>
    <mergeCell ref="G19:I19"/>
    <mergeCell ref="P20:R20"/>
    <mergeCell ref="G13:I13"/>
    <mergeCell ref="P13:R13"/>
    <mergeCell ref="X10:Z10"/>
    <mergeCell ref="S11:T11"/>
    <mergeCell ref="U11:W11"/>
    <mergeCell ref="K10:S10"/>
    <mergeCell ref="G12:I12"/>
    <mergeCell ref="G15:I15"/>
    <mergeCell ref="P16:R16"/>
    <mergeCell ref="G14:I14"/>
    <mergeCell ref="P14:R14"/>
    <mergeCell ref="P15:R15"/>
  </mergeCells>
  <conditionalFormatting sqref="T7:T8">
    <cfRule type="expression" dxfId="53" priority="11">
      <formula>$G$12="Invest"</formula>
    </cfRule>
  </conditionalFormatting>
  <conditionalFormatting sqref="T7:Y7 X8:Y9">
    <cfRule type="expression" dxfId="52" priority="10">
      <formula>$G$12="Invest"</formula>
    </cfRule>
  </conditionalFormatting>
  <conditionalFormatting sqref="AC7:AC38">
    <cfRule type="expression" dxfId="51" priority="9">
      <formula>$G$12="Invest"</formula>
    </cfRule>
  </conditionalFormatting>
  <conditionalFormatting sqref="F11 F14:F22">
    <cfRule type="iconSet" priority="8">
      <iconSet iconSet="3Symbols2" showValue="0">
        <cfvo type="percent" val="0"/>
        <cfvo type="num" val="0.5"/>
        <cfvo type="num" val="1"/>
      </iconSet>
    </cfRule>
  </conditionalFormatting>
  <conditionalFormatting sqref="E14">
    <cfRule type="iconSet" priority="7">
      <iconSet iconSet="3Symbols2" showValue="0">
        <cfvo type="percent" val="0"/>
        <cfvo type="num" val="0.5"/>
        <cfvo type="num" val="1"/>
      </iconSet>
    </cfRule>
  </conditionalFormatting>
  <conditionalFormatting sqref="F33">
    <cfRule type="iconSet" priority="6">
      <iconSet iconSet="3Symbols2" showValue="0">
        <cfvo type="percent" val="0"/>
        <cfvo type="num" val="0.5"/>
        <cfvo type="num" val="1"/>
      </iconSet>
    </cfRule>
  </conditionalFormatting>
  <conditionalFormatting sqref="T32:Z33">
    <cfRule type="expression" dxfId="50" priority="5">
      <formula>$P$33&gt;0</formula>
    </cfRule>
  </conditionalFormatting>
  <conditionalFormatting sqref="K33:O33">
    <cfRule type="expression" dxfId="49" priority="4">
      <formula>$P$33&lt;0</formula>
    </cfRule>
  </conditionalFormatting>
  <conditionalFormatting sqref="T36:Z36">
    <cfRule type="expression" dxfId="48" priority="3">
      <formula>$P$36&gt;0</formula>
    </cfRule>
  </conditionalFormatting>
  <conditionalFormatting sqref="K36:O36">
    <cfRule type="expression" dxfId="47" priority="2">
      <formula>$P$36&lt;0</formula>
    </cfRule>
  </conditionalFormatting>
  <conditionalFormatting sqref="T35:Z35">
    <cfRule type="expression" dxfId="46" priority="1">
      <formula>$P$36&gt;0</formula>
    </cfRule>
  </conditionalFormatting>
  <printOptions horizontalCentered="1"/>
  <pageMargins left="0.23622047244094491" right="0.23622047244094491" top="0.74803149606299213" bottom="0.74803149606299213" header="0.31496062992125984" footer="0.31496062992125984"/>
  <pageSetup paperSize="9" scale="99" orientation="portrait" horizontalDpi="4294967295" verticalDpi="4294967295" r:id="rId1"/>
  <headerFooter alignWithMargins="0">
    <oddHeader>&amp;C&amp;G</oddHeader>
    <oddFooter>&amp;R&amp;G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G26"/>
  <sheetViews>
    <sheetView showGridLines="0" showRuler="0" zoomScaleNormal="100" workbookViewId="0">
      <selection activeCell="A26" sqref="A26:AA26"/>
    </sheetView>
  </sheetViews>
  <sheetFormatPr defaultColWidth="3.5703125" defaultRowHeight="18.75" customHeight="1" x14ac:dyDescent="0.25"/>
  <cols>
    <col min="1" max="1" width="3.5703125" style="21" customWidth="1"/>
    <col min="2" max="15" width="3.5703125" style="21"/>
    <col min="16" max="16" width="3.5703125" style="23"/>
    <col min="17" max="26" width="3.5703125" style="21"/>
    <col min="27" max="28" width="3.5703125" style="21" customWidth="1"/>
    <col min="29" max="30" width="10.5703125" style="172" customWidth="1"/>
    <col min="31" max="39" width="3.5703125" style="172" customWidth="1"/>
    <col min="40" max="40" width="8.5703125" style="172" customWidth="1"/>
    <col min="41" max="41" width="11.28515625" style="172" customWidth="1"/>
    <col min="42" max="42" width="3.5703125" style="172" customWidth="1"/>
    <col min="43" max="45" width="8.5703125" style="172" customWidth="1"/>
    <col min="46" max="46" width="3.5703125" style="173" customWidth="1"/>
    <col min="47" max="78" width="3.5703125" style="129"/>
    <col min="79" max="79" width="10.5703125" style="129" bestFit="1" customWidth="1"/>
    <col min="80" max="80" width="3.5703125" style="129"/>
    <col min="81" max="81" width="12" style="129" bestFit="1" customWidth="1"/>
    <col min="82" max="85" width="3.5703125" style="129"/>
    <col min="86" max="16384" width="3.5703125" style="21"/>
  </cols>
  <sheetData>
    <row r="1" spans="1:85" ht="48" customHeight="1" x14ac:dyDescent="0.25">
      <c r="A1" s="1622" t="s">
        <v>900</v>
      </c>
      <c r="B1" s="1622"/>
      <c r="C1" s="1622"/>
      <c r="D1" s="1622"/>
      <c r="E1" s="1622"/>
      <c r="F1" s="1622"/>
      <c r="G1" s="1622"/>
      <c r="H1" s="1622"/>
      <c r="I1" s="1622"/>
      <c r="J1" s="1622"/>
      <c r="K1" s="1622"/>
      <c r="L1" s="1622"/>
      <c r="M1" s="1622"/>
      <c r="N1" s="1622"/>
      <c r="O1" s="1622"/>
      <c r="P1" s="1622"/>
      <c r="Q1" s="1622"/>
      <c r="R1" s="1622"/>
      <c r="S1" s="1622"/>
      <c r="T1" s="1622"/>
      <c r="U1" s="1622"/>
    </row>
    <row r="2" spans="1:85" s="27" customFormat="1" ht="11.25" x14ac:dyDescent="0.25">
      <c r="A2" s="2240"/>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657"/>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row>
    <row r="3" spans="1:85" s="665" customFormat="1" ht="12.75" x14ac:dyDescent="0.2">
      <c r="A3" s="686"/>
      <c r="B3" s="1724" t="s">
        <v>179</v>
      </c>
      <c r="C3" s="1724"/>
      <c r="D3" s="1724"/>
      <c r="E3" s="1724"/>
      <c r="F3" s="1724"/>
      <c r="G3" s="1724"/>
      <c r="H3" s="1724"/>
      <c r="I3" s="1596"/>
      <c r="J3" s="1596"/>
      <c r="K3" s="1596"/>
      <c r="L3" s="1596"/>
      <c r="M3" s="1596"/>
      <c r="N3" s="1596"/>
      <c r="O3" s="1596"/>
      <c r="P3" s="1596"/>
      <c r="Q3" s="1596"/>
      <c r="R3" s="1596"/>
      <c r="S3" s="1596"/>
      <c r="T3" s="691"/>
      <c r="U3" s="1724" t="s">
        <v>22</v>
      </c>
      <c r="V3" s="1724"/>
      <c r="W3" s="1596" t="s">
        <v>374</v>
      </c>
      <c r="X3" s="1596"/>
      <c r="Y3" s="1596"/>
      <c r="Z3" s="1596"/>
      <c r="AA3" s="1596"/>
      <c r="AB3" s="167"/>
      <c r="AC3" s="212"/>
      <c r="AD3" s="212"/>
      <c r="AE3" s="212"/>
      <c r="AF3" s="212"/>
      <c r="AG3" s="212"/>
      <c r="AH3" s="212"/>
      <c r="AI3" s="212"/>
      <c r="AJ3" s="212"/>
      <c r="AK3" s="212"/>
      <c r="AL3" s="212"/>
      <c r="AM3" s="664"/>
      <c r="AN3" s="664"/>
      <c r="AO3" s="664"/>
      <c r="AP3" s="664"/>
      <c r="AQ3" s="664"/>
      <c r="AR3" s="664"/>
      <c r="AS3" s="664"/>
      <c r="AT3" s="66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row>
    <row r="4" spans="1:85" s="1" customFormat="1" ht="12.75" x14ac:dyDescent="0.2">
      <c r="A4" s="686"/>
      <c r="B4" s="1724" t="s">
        <v>216</v>
      </c>
      <c r="C4" s="1724"/>
      <c r="D4" s="1724"/>
      <c r="E4" s="1724"/>
      <c r="F4" s="1724"/>
      <c r="G4" s="1724"/>
      <c r="H4" s="1724"/>
      <c r="I4" s="1596"/>
      <c r="J4" s="1596"/>
      <c r="K4" s="1596"/>
      <c r="L4" s="1596"/>
      <c r="M4" s="1596"/>
      <c r="N4" s="1596"/>
      <c r="O4" s="1596"/>
      <c r="P4" s="1596"/>
      <c r="Q4" s="1596"/>
      <c r="R4" s="1596"/>
      <c r="S4" s="1596"/>
      <c r="T4" s="691"/>
      <c r="U4" s="1724" t="s">
        <v>368</v>
      </c>
      <c r="V4" s="1724"/>
      <c r="W4" s="1596"/>
      <c r="X4" s="1596"/>
      <c r="Y4" s="1596"/>
      <c r="Z4" s="1596"/>
      <c r="AA4" s="1596"/>
      <c r="AB4" s="167"/>
      <c r="AC4" s="664"/>
      <c r="AD4" s="664"/>
      <c r="AE4" s="664"/>
      <c r="AF4" s="664"/>
      <c r="AG4" s="664"/>
      <c r="AH4" s="664"/>
      <c r="AI4" s="664"/>
      <c r="AJ4" s="664"/>
      <c r="AK4" s="664"/>
      <c r="AL4" s="664"/>
      <c r="AM4" s="664"/>
      <c r="AN4" s="664"/>
      <c r="AO4" s="664"/>
      <c r="AP4" s="664"/>
      <c r="AQ4" s="666"/>
      <c r="AR4" s="666"/>
      <c r="AS4" s="666"/>
      <c r="AT4" s="664"/>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t="str">
        <f ca="1">CONCATENATE(CA6,"y ",CA7,"m")</f>
        <v>117y 3m</v>
      </c>
      <c r="CB4" s="131"/>
      <c r="CC4" s="594">
        <f ca="1">NOW()</f>
        <v>42797.514809143519</v>
      </c>
      <c r="CD4" s="131"/>
      <c r="CE4" s="131"/>
      <c r="CF4" s="131"/>
      <c r="CG4" s="131"/>
    </row>
    <row r="5" spans="1:85" s="1" customFormat="1" ht="12.75" x14ac:dyDescent="0.2">
      <c r="A5" s="686"/>
      <c r="B5" s="1724" t="s">
        <v>181</v>
      </c>
      <c r="C5" s="1724"/>
      <c r="D5" s="1724"/>
      <c r="E5" s="1724"/>
      <c r="F5" s="1724"/>
      <c r="G5" s="1724"/>
      <c r="H5" s="1724"/>
      <c r="I5" s="1596"/>
      <c r="J5" s="1596"/>
      <c r="K5" s="1596"/>
      <c r="L5" s="1596"/>
      <c r="M5" s="1596"/>
      <c r="N5" s="1596"/>
      <c r="O5" s="1596"/>
      <c r="P5" s="1596"/>
      <c r="Q5" s="1596"/>
      <c r="R5" s="1596"/>
      <c r="S5" s="1596"/>
      <c r="T5" s="691"/>
      <c r="U5" s="1724" t="s">
        <v>662</v>
      </c>
      <c r="V5" s="1724"/>
      <c r="W5" s="2245"/>
      <c r="X5" s="2245"/>
      <c r="Y5" s="2245"/>
      <c r="Z5" s="2245"/>
      <c r="AA5" s="2245"/>
      <c r="AB5" s="167"/>
      <c r="AC5" s="598"/>
      <c r="AD5" s="1654" t="s">
        <v>441</v>
      </c>
      <c r="AE5" s="1654"/>
      <c r="AF5" s="1654"/>
      <c r="AG5" s="1654"/>
      <c r="AH5" s="1654"/>
      <c r="AI5" s="664"/>
      <c r="AJ5" s="664"/>
      <c r="AK5" s="664"/>
      <c r="AL5" s="664"/>
      <c r="AM5" s="664"/>
      <c r="AN5" s="667"/>
      <c r="AO5" s="668"/>
      <c r="AP5" s="664"/>
      <c r="AQ5" s="669"/>
      <c r="AR5" s="669"/>
      <c r="AS5" s="669"/>
      <c r="AT5" s="664"/>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595">
        <f ca="1">+CC4-W5</f>
        <v>42797.514809143519</v>
      </c>
      <c r="CD5" s="131"/>
      <c r="CE5" s="131"/>
      <c r="CF5" s="131"/>
      <c r="CG5" s="131"/>
    </row>
    <row r="6" spans="1:85" s="1" customFormat="1" ht="12.75" x14ac:dyDescent="0.2">
      <c r="A6" s="686"/>
      <c r="B6" s="1724" t="str">
        <f>IF(W3="Company P/L","Directors",IF(W3="Partnership","Partners",IF(W3="Sole Trader","","Trustee")))</f>
        <v>Directors</v>
      </c>
      <c r="C6" s="1724"/>
      <c r="D6" s="1724"/>
      <c r="E6" s="1724"/>
      <c r="F6" s="1724"/>
      <c r="G6" s="1724"/>
      <c r="H6" s="1724"/>
      <c r="I6" s="1596"/>
      <c r="J6" s="1596"/>
      <c r="K6" s="1596"/>
      <c r="L6" s="1596"/>
      <c r="M6" s="1596"/>
      <c r="N6" s="1596"/>
      <c r="O6" s="1596"/>
      <c r="P6" s="1596"/>
      <c r="Q6" s="1596"/>
      <c r="R6" s="1596"/>
      <c r="S6" s="1596"/>
      <c r="T6" s="687"/>
      <c r="U6" s="687"/>
      <c r="V6" s="687"/>
      <c r="W6" s="2263" t="str">
        <f>IF(W5="","",+CA4)</f>
        <v/>
      </c>
      <c r="X6" s="2263"/>
      <c r="Y6" s="2263"/>
      <c r="Z6" s="2263"/>
      <c r="AA6" s="2263"/>
      <c r="AB6" s="167"/>
      <c r="AC6" s="598"/>
      <c r="AD6" s="670"/>
      <c r="AE6" s="664"/>
      <c r="AF6" s="664"/>
      <c r="AG6" s="664"/>
      <c r="AH6" s="664"/>
      <c r="AI6" s="664"/>
      <c r="AJ6" s="664"/>
      <c r="AK6" s="664"/>
      <c r="AL6" s="664"/>
      <c r="AM6" s="664"/>
      <c r="AN6" s="667"/>
      <c r="AO6" s="668"/>
      <c r="AP6" s="664"/>
      <c r="AQ6" s="669"/>
      <c r="AR6" s="669"/>
      <c r="AS6" s="669"/>
      <c r="AT6" s="664"/>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f ca="1">ROUNDDOWN(CC6,0)</f>
        <v>117</v>
      </c>
      <c r="CB6" s="131"/>
      <c r="CC6" s="131">
        <f ca="1">+CC5/365.25</f>
        <v>117.17320960751134</v>
      </c>
      <c r="CD6" s="131"/>
      <c r="CE6" s="131"/>
      <c r="CF6" s="131"/>
      <c r="CG6" s="131"/>
    </row>
    <row r="7" spans="1:85" s="1" customFormat="1" ht="12.75" x14ac:dyDescent="0.2">
      <c r="A7" s="686"/>
      <c r="B7" s="1724" t="str">
        <f>IF(W3="Trust - Family","Beneficiaries",IF(W3="Trust - Unit","Beneficiaries",IF(W3="Trust - Hybrid","Beneficiaries","")))</f>
        <v/>
      </c>
      <c r="C7" s="1724"/>
      <c r="D7" s="1724"/>
      <c r="E7" s="1724"/>
      <c r="F7" s="1724"/>
      <c r="G7" s="1724"/>
      <c r="H7" s="1724"/>
      <c r="I7" s="1596"/>
      <c r="J7" s="1596"/>
      <c r="K7" s="1596"/>
      <c r="L7" s="1596"/>
      <c r="M7" s="1596"/>
      <c r="N7" s="1596"/>
      <c r="O7" s="1596"/>
      <c r="P7" s="1596"/>
      <c r="Q7" s="1596"/>
      <c r="R7" s="1596"/>
      <c r="S7" s="1596"/>
      <c r="T7" s="686"/>
      <c r="U7" s="686"/>
      <c r="V7" s="686"/>
      <c r="W7" s="855"/>
      <c r="X7" s="855"/>
      <c r="Y7" s="855"/>
      <c r="Z7" s="855"/>
      <c r="AA7" s="855"/>
      <c r="AB7" s="167"/>
      <c r="AC7" s="671"/>
      <c r="AD7" s="670"/>
      <c r="AE7" s="2273"/>
      <c r="AF7" s="2273"/>
      <c r="AG7" s="2273"/>
      <c r="AH7" s="2270"/>
      <c r="AI7" s="2270"/>
      <c r="AJ7" s="2270"/>
      <c r="AK7" s="664"/>
      <c r="AL7" s="664"/>
      <c r="AM7" s="664"/>
      <c r="AN7" s="667"/>
      <c r="AO7" s="668"/>
      <c r="AP7" s="664"/>
      <c r="AQ7" s="669"/>
      <c r="AR7" s="669"/>
      <c r="AS7" s="669"/>
      <c r="AT7" s="664"/>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f ca="1">ROUNDDOWN(CC7/30.4,0)</f>
        <v>3</v>
      </c>
      <c r="CB7" s="131"/>
      <c r="CC7" s="131">
        <f ca="1">+CC5-CA6*365</f>
        <v>92.514809143518505</v>
      </c>
      <c r="CD7" s="131"/>
      <c r="CE7" s="131"/>
      <c r="CF7" s="131"/>
      <c r="CG7" s="131"/>
    </row>
    <row r="8" spans="1:85" s="27" customFormat="1" ht="11.25" x14ac:dyDescent="0.2">
      <c r="A8" s="689"/>
      <c r="B8" s="1722"/>
      <c r="C8" s="1722"/>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689"/>
      <c r="AB8" s="658"/>
      <c r="AC8" s="659"/>
      <c r="AD8" s="672"/>
      <c r="AE8" s="2271"/>
      <c r="AF8" s="2271"/>
      <c r="AG8" s="2271"/>
      <c r="AH8" s="2272"/>
      <c r="AI8" s="2272"/>
      <c r="AJ8" s="2272"/>
      <c r="AK8" s="660"/>
      <c r="AL8" s="660"/>
      <c r="AM8" s="660"/>
      <c r="AN8" s="661"/>
      <c r="AO8" s="662"/>
      <c r="AP8" s="660"/>
      <c r="AQ8" s="663"/>
      <c r="AR8" s="663"/>
      <c r="AS8" s="663"/>
      <c r="AT8" s="660"/>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row>
    <row r="9" spans="1:85" s="1" customFormat="1" ht="26.25" x14ac:dyDescent="0.25">
      <c r="A9" s="1718" t="s">
        <v>681</v>
      </c>
      <c r="B9" s="1718"/>
      <c r="C9" s="1718"/>
      <c r="D9" s="1718"/>
      <c r="E9" s="1718"/>
      <c r="F9" s="1718"/>
      <c r="G9" s="1718"/>
      <c r="H9" s="1718"/>
      <c r="I9" s="2244" t="str">
        <f>IF(I10&lt;M10,"Most recent year needs to be on the left","")</f>
        <v/>
      </c>
      <c r="J9" s="2244"/>
      <c r="K9" s="2244"/>
      <c r="L9" s="2244"/>
      <c r="M9" s="2244"/>
      <c r="N9" s="2244"/>
      <c r="O9" s="2244"/>
      <c r="P9" s="2244"/>
      <c r="Q9" s="169"/>
      <c r="R9" s="169"/>
      <c r="S9" s="169"/>
      <c r="T9" s="169"/>
      <c r="U9" s="169"/>
      <c r="V9" s="169"/>
      <c r="W9" s="169"/>
      <c r="X9" s="169"/>
      <c r="Y9" s="165"/>
      <c r="Z9" s="165"/>
      <c r="AA9" s="167"/>
      <c r="AB9" s="167"/>
      <c r="AC9" s="175"/>
      <c r="AD9" s="181"/>
      <c r="AE9" s="2137"/>
      <c r="AF9" s="2137"/>
      <c r="AG9" s="2137"/>
      <c r="AH9" s="2138"/>
      <c r="AI9" s="2138"/>
      <c r="AJ9" s="2138"/>
      <c r="AK9" s="133"/>
      <c r="AL9" s="133"/>
      <c r="AM9" s="133"/>
      <c r="AN9" s="133"/>
      <c r="AO9" s="133"/>
      <c r="AP9" s="133"/>
      <c r="AQ9" s="133"/>
      <c r="AR9" s="133"/>
      <c r="AS9" s="133"/>
      <c r="AT9" s="133"/>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row>
    <row r="10" spans="1:85" s="1" customFormat="1" ht="18.75" customHeight="1" x14ac:dyDescent="0.3">
      <c r="A10" s="642"/>
      <c r="B10" s="642"/>
      <c r="C10" s="642"/>
      <c r="D10" s="642"/>
      <c r="E10" s="642"/>
      <c r="F10" s="642"/>
      <c r="G10" s="643"/>
      <c r="H10" s="643"/>
      <c r="I10" s="2268">
        <v>2016</v>
      </c>
      <c r="J10" s="2268"/>
      <c r="K10" s="2268"/>
      <c r="L10" s="2268"/>
      <c r="M10" s="2268">
        <v>2015</v>
      </c>
      <c r="N10" s="2268"/>
      <c r="O10" s="2268"/>
      <c r="P10" s="2268"/>
      <c r="Q10" s="2269" t="s">
        <v>366</v>
      </c>
      <c r="R10" s="2269"/>
      <c r="S10" s="2269"/>
      <c r="T10" s="2269"/>
      <c r="U10" s="2267" t="s">
        <v>20</v>
      </c>
      <c r="V10" s="2267"/>
      <c r="W10" s="2267"/>
      <c r="X10" s="2267"/>
      <c r="Y10" s="2267"/>
      <c r="Z10" s="2267"/>
      <c r="AA10" s="2267"/>
      <c r="AB10" s="167"/>
      <c r="AC10" s="175"/>
      <c r="AD10" s="181"/>
      <c r="AE10" s="2137"/>
      <c r="AF10" s="2137"/>
      <c r="AG10" s="2137"/>
      <c r="AH10" s="2138"/>
      <c r="AI10" s="2138"/>
      <c r="AJ10" s="2138"/>
      <c r="AK10" s="133"/>
      <c r="AL10" s="133"/>
      <c r="AM10" s="133"/>
      <c r="AN10" s="133"/>
      <c r="AO10" s="133"/>
      <c r="AP10" s="133"/>
      <c r="AQ10" s="2274"/>
      <c r="AR10" s="2274"/>
      <c r="AS10" s="2274"/>
      <c r="AT10" s="133"/>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row>
    <row r="11" spans="1:85" s="1" customFormat="1" ht="18.75" customHeight="1" x14ac:dyDescent="0.25">
      <c r="A11" s="2279" t="s">
        <v>182</v>
      </c>
      <c r="B11" s="2280"/>
      <c r="C11" s="2280"/>
      <c r="D11" s="2280"/>
      <c r="E11" s="2280"/>
      <c r="F11" s="2280"/>
      <c r="G11" s="2280"/>
      <c r="H11" s="2281"/>
      <c r="I11" s="1611"/>
      <c r="J11" s="1646"/>
      <c r="K11" s="1646"/>
      <c r="L11" s="1612"/>
      <c r="M11" s="1611"/>
      <c r="N11" s="1646"/>
      <c r="O11" s="1646"/>
      <c r="P11" s="1612"/>
      <c r="Q11" s="2252" t="str">
        <f>IF(I11="","",IF($M$15="",+I11,AVERAGE(I11:P11)))</f>
        <v/>
      </c>
      <c r="R11" s="2253"/>
      <c r="S11" s="2253"/>
      <c r="T11" s="2254"/>
      <c r="U11" s="2251"/>
      <c r="V11" s="2243"/>
      <c r="W11" s="2243"/>
      <c r="X11" s="2243"/>
      <c r="Y11" s="2243"/>
      <c r="Z11" s="2243"/>
      <c r="AA11" s="2243"/>
      <c r="AB11" s="167"/>
      <c r="AC11" s="175"/>
      <c r="AD11" s="181"/>
      <c r="AE11" s="2137"/>
      <c r="AF11" s="2137"/>
      <c r="AG11" s="2137"/>
      <c r="AH11" s="2138"/>
      <c r="AI11" s="2138"/>
      <c r="AJ11" s="2138"/>
      <c r="AK11" s="133"/>
      <c r="AL11" s="133"/>
      <c r="AM11" s="133"/>
      <c r="AN11" s="133"/>
      <c r="AO11" s="133"/>
      <c r="AP11" s="133"/>
      <c r="AQ11" s="182"/>
      <c r="AR11" s="182"/>
      <c r="AS11" s="183"/>
      <c r="AT11" s="133"/>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row>
    <row r="12" spans="1:85" s="1" customFormat="1" ht="18.75" customHeight="1" x14ac:dyDescent="0.25">
      <c r="A12" s="1719" t="s">
        <v>183</v>
      </c>
      <c r="B12" s="1719"/>
      <c r="C12" s="1719"/>
      <c r="D12" s="1719"/>
      <c r="E12" s="1719"/>
      <c r="F12" s="1719"/>
      <c r="G12" s="1719"/>
      <c r="H12" s="1720"/>
      <c r="I12" s="2248"/>
      <c r="J12" s="2249"/>
      <c r="K12" s="2249"/>
      <c r="L12" s="2249"/>
      <c r="M12" s="2248"/>
      <c r="N12" s="2249"/>
      <c r="O12" s="2249"/>
      <c r="P12" s="2249"/>
      <c r="Q12" s="2260" t="str">
        <f>IF(I12="","",IF(M12="",+I12,AVERAGE(I12:P12)))</f>
        <v/>
      </c>
      <c r="R12" s="2261"/>
      <c r="S12" s="2261"/>
      <c r="T12" s="2262"/>
      <c r="U12" s="2251"/>
      <c r="V12" s="2243"/>
      <c r="W12" s="2243"/>
      <c r="X12" s="2243"/>
      <c r="Y12" s="2243"/>
      <c r="Z12" s="2243"/>
      <c r="AA12" s="2243"/>
      <c r="AB12" s="167"/>
      <c r="AC12" s="133"/>
      <c r="AD12" s="133"/>
      <c r="AE12" s="133"/>
      <c r="AF12" s="133"/>
      <c r="AG12" s="128"/>
      <c r="AH12" s="133"/>
      <c r="AI12" s="133"/>
      <c r="AJ12" s="133"/>
      <c r="AK12" s="133"/>
      <c r="AL12" s="133"/>
      <c r="AM12" s="133"/>
      <c r="AN12" s="133"/>
      <c r="AO12" s="133"/>
      <c r="AP12" s="133"/>
      <c r="AQ12" s="184"/>
      <c r="AR12" s="185"/>
      <c r="AS12" s="183"/>
      <c r="AT12" s="133"/>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row>
    <row r="13" spans="1:85" s="1" customFormat="1" ht="18.75" customHeight="1" x14ac:dyDescent="0.25">
      <c r="A13" s="2206" t="s">
        <v>184</v>
      </c>
      <c r="B13" s="2206"/>
      <c r="C13" s="2206"/>
      <c r="D13" s="2206"/>
      <c r="E13" s="2206"/>
      <c r="F13" s="2206"/>
      <c r="G13" s="2206"/>
      <c r="H13" s="2235"/>
      <c r="I13" s="2255" t="str">
        <f>IF(+I11="","",+I11+I12)</f>
        <v/>
      </c>
      <c r="J13" s="2256"/>
      <c r="K13" s="2256"/>
      <c r="L13" s="2257"/>
      <c r="M13" s="2255" t="str">
        <f>IF(M11="","",+M11+M12)</f>
        <v/>
      </c>
      <c r="N13" s="2256"/>
      <c r="O13" s="2256"/>
      <c r="P13" s="2257"/>
      <c r="Q13" s="2255" t="str">
        <f>IF($M$15="",+I13,AVERAGE(I13:P13))</f>
        <v/>
      </c>
      <c r="R13" s="2256"/>
      <c r="S13" s="2256"/>
      <c r="T13" s="2257"/>
      <c r="U13" s="2251"/>
      <c r="V13" s="2243"/>
      <c r="W13" s="2243"/>
      <c r="X13" s="2243"/>
      <c r="Y13" s="2243"/>
      <c r="Z13" s="2243"/>
      <c r="AA13" s="2243"/>
      <c r="AB13" s="167"/>
      <c r="AC13" s="133"/>
      <c r="AD13" s="133"/>
      <c r="AE13" s="133"/>
      <c r="AF13" s="133"/>
      <c r="AG13" s="128"/>
      <c r="AH13" s="133"/>
      <c r="AI13" s="133"/>
      <c r="AJ13" s="133"/>
      <c r="AK13" s="133"/>
      <c r="AL13" s="133"/>
      <c r="AM13" s="133"/>
      <c r="AN13" s="133"/>
      <c r="AO13" s="133"/>
      <c r="AP13" s="133"/>
      <c r="AQ13" s="184"/>
      <c r="AR13" s="185"/>
      <c r="AS13" s="183"/>
      <c r="AT13" s="133"/>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row>
    <row r="14" spans="1:85" s="1" customFormat="1" ht="18.75" customHeight="1" x14ac:dyDescent="0.25">
      <c r="A14" s="1719" t="s">
        <v>185</v>
      </c>
      <c r="B14" s="1719"/>
      <c r="C14" s="1719"/>
      <c r="D14" s="1719"/>
      <c r="E14" s="1719"/>
      <c r="F14" s="1719"/>
      <c r="G14" s="1719"/>
      <c r="H14" s="1720"/>
      <c r="I14" s="2258"/>
      <c r="J14" s="2259"/>
      <c r="K14" s="2259"/>
      <c r="L14" s="2259"/>
      <c r="M14" s="2258"/>
      <c r="N14" s="2259"/>
      <c r="O14" s="2259"/>
      <c r="P14" s="2259"/>
      <c r="Q14" s="2260" t="str">
        <f>IF(I14="","",IF(M14="",+I14,AVERAGE(I14:P14)))</f>
        <v/>
      </c>
      <c r="R14" s="2261"/>
      <c r="S14" s="2261"/>
      <c r="T14" s="2262"/>
      <c r="U14" s="2251"/>
      <c r="V14" s="2243"/>
      <c r="W14" s="2243"/>
      <c r="X14" s="2243"/>
      <c r="Y14" s="2243"/>
      <c r="Z14" s="2243"/>
      <c r="AA14" s="2243"/>
      <c r="AB14" s="167"/>
      <c r="AC14" s="133"/>
      <c r="AD14" s="133"/>
      <c r="AE14" s="133"/>
      <c r="AF14" s="133"/>
      <c r="AG14" s="128"/>
      <c r="AH14" s="133"/>
      <c r="AI14" s="133"/>
      <c r="AJ14" s="133"/>
      <c r="AK14" s="133"/>
      <c r="AL14" s="133"/>
      <c r="AM14" s="133"/>
      <c r="AN14" s="133"/>
      <c r="AO14" s="133"/>
      <c r="AP14" s="133"/>
      <c r="AQ14" s="184"/>
      <c r="AR14" s="185"/>
      <c r="AS14" s="183"/>
      <c r="AT14" s="133"/>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row>
    <row r="15" spans="1:85" s="1" customFormat="1" ht="18.75" customHeight="1" x14ac:dyDescent="0.25">
      <c r="A15" s="2206" t="s">
        <v>186</v>
      </c>
      <c r="B15" s="2206"/>
      <c r="C15" s="2206"/>
      <c r="D15" s="2206"/>
      <c r="E15" s="2206"/>
      <c r="F15" s="2206"/>
      <c r="G15" s="2206"/>
      <c r="H15" s="2235"/>
      <c r="I15" s="2255" t="str">
        <f>IF(I13="","",+I13+I14)</f>
        <v/>
      </c>
      <c r="J15" s="2256"/>
      <c r="K15" s="2256"/>
      <c r="L15" s="2257"/>
      <c r="M15" s="2255" t="str">
        <f>IF(M13="","",+M13+M14)</f>
        <v/>
      </c>
      <c r="N15" s="2256"/>
      <c r="O15" s="2256"/>
      <c r="P15" s="2257"/>
      <c r="Q15" s="2255" t="str">
        <f>IF($M$15="",+I15,AVERAGE(I15:P15))</f>
        <v/>
      </c>
      <c r="R15" s="2256"/>
      <c r="S15" s="2256"/>
      <c r="T15" s="2257"/>
      <c r="U15" s="2241" t="str">
        <f>IF(OR(I11="",M11=""),"",+(I15-M15)/I15)</f>
        <v/>
      </c>
      <c r="V15" s="2242"/>
      <c r="W15" s="2243" t="s">
        <v>667</v>
      </c>
      <c r="X15" s="2243"/>
      <c r="Y15" s="2243"/>
      <c r="Z15" s="2243"/>
      <c r="AA15" s="2243"/>
      <c r="AB15" s="167"/>
      <c r="AC15" s="133"/>
      <c r="AD15" s="133"/>
      <c r="AE15" s="133"/>
      <c r="AF15" s="133"/>
      <c r="AG15" s="128"/>
      <c r="AH15" s="133"/>
      <c r="AI15" s="133"/>
      <c r="AJ15" s="133"/>
      <c r="AK15" s="133"/>
      <c r="AL15" s="133"/>
      <c r="AM15" s="133"/>
      <c r="AN15" s="133"/>
      <c r="AO15" s="133"/>
      <c r="AP15" s="133"/>
      <c r="AQ15" s="184"/>
      <c r="AR15" s="185"/>
      <c r="AS15" s="183"/>
      <c r="AT15" s="133"/>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row>
    <row r="16" spans="1:85" s="1" customFormat="1" ht="18.75" customHeight="1" x14ac:dyDescent="0.25">
      <c r="A16" s="2275"/>
      <c r="B16" s="2275"/>
      <c r="C16" s="2275"/>
      <c r="D16" s="2275"/>
      <c r="E16" s="2275"/>
      <c r="F16" s="1719"/>
      <c r="G16" s="644"/>
      <c r="H16" s="644"/>
      <c r="I16" s="164"/>
      <c r="J16" s="168"/>
      <c r="U16" s="2241"/>
      <c r="V16" s="2242"/>
      <c r="W16" s="639"/>
      <c r="X16" s="639"/>
      <c r="Y16" s="639"/>
      <c r="Z16" s="639"/>
      <c r="AA16" s="647"/>
      <c r="AB16" s="167"/>
      <c r="AC16" s="186"/>
      <c r="AD16" s="186"/>
      <c r="AE16" s="186"/>
      <c r="AF16" s="186"/>
      <c r="AG16" s="128"/>
      <c r="AH16" s="186"/>
      <c r="AI16" s="186"/>
      <c r="AJ16" s="186"/>
      <c r="AK16" s="186"/>
      <c r="AL16" s="133"/>
      <c r="AM16" s="133"/>
      <c r="AN16" s="133"/>
      <c r="AO16" s="133"/>
      <c r="AP16" s="133"/>
      <c r="AQ16" s="184"/>
      <c r="AR16" s="185"/>
      <c r="AS16" s="183"/>
      <c r="AT16" s="133"/>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row>
    <row r="17" spans="1:85" s="1" customFormat="1" ht="18.75" customHeight="1" x14ac:dyDescent="0.25">
      <c r="A17" s="1719" t="s">
        <v>187</v>
      </c>
      <c r="B17" s="1719"/>
      <c r="C17" s="1719"/>
      <c r="D17" s="1719"/>
      <c r="E17" s="1719"/>
      <c r="F17" s="1719"/>
      <c r="G17" s="1719"/>
      <c r="H17" s="1720"/>
      <c r="I17" s="1611"/>
      <c r="J17" s="1646"/>
      <c r="K17" s="1646"/>
      <c r="L17" s="1612"/>
      <c r="M17" s="1611"/>
      <c r="N17" s="1646"/>
      <c r="O17" s="1646"/>
      <c r="P17" s="1612"/>
      <c r="Q17" s="2252" t="str">
        <f>IF(I17="","",IF($M$22="",+I17,AVERAGE(I17:P17)))</f>
        <v/>
      </c>
      <c r="R17" s="2253"/>
      <c r="S17" s="2253"/>
      <c r="T17" s="2254"/>
      <c r="U17" s="2251"/>
      <c r="V17" s="2243"/>
      <c r="W17" s="2243"/>
      <c r="X17" s="2243"/>
      <c r="Y17" s="2243"/>
      <c r="Z17" s="2243"/>
      <c r="AA17" s="2243"/>
      <c r="AB17" s="167"/>
      <c r="AC17" s="172"/>
      <c r="AD17" s="186"/>
      <c r="AE17" s="186"/>
      <c r="AF17" s="186"/>
      <c r="AG17" s="128"/>
      <c r="AH17" s="186"/>
      <c r="AI17" s="186"/>
      <c r="AJ17" s="186"/>
      <c r="AK17" s="186"/>
      <c r="AL17" s="133"/>
      <c r="AM17" s="133"/>
      <c r="AN17" s="133"/>
      <c r="AO17" s="133"/>
      <c r="AP17" s="133"/>
      <c r="AQ17" s="184"/>
      <c r="AR17" s="187"/>
      <c r="AS17" s="183"/>
      <c r="AT17" s="133"/>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row>
    <row r="18" spans="1:85" s="1" customFormat="1" ht="18.75" customHeight="1" x14ac:dyDescent="0.25">
      <c r="A18" s="1719" t="s">
        <v>188</v>
      </c>
      <c r="B18" s="1719"/>
      <c r="C18" s="1719"/>
      <c r="D18" s="1719"/>
      <c r="E18" s="1719"/>
      <c r="F18" s="1719"/>
      <c r="G18" s="1719"/>
      <c r="H18" s="1720"/>
      <c r="I18" s="1611"/>
      <c r="J18" s="1646"/>
      <c r="K18" s="1646"/>
      <c r="L18" s="1612"/>
      <c r="M18" s="1611"/>
      <c r="N18" s="1646"/>
      <c r="O18" s="1646"/>
      <c r="P18" s="1612"/>
      <c r="Q18" s="2252" t="str">
        <f>IF(I18="","",IF($M$22="",+I18,AVERAGE(I18:P18)))</f>
        <v/>
      </c>
      <c r="R18" s="2253"/>
      <c r="S18" s="2253"/>
      <c r="T18" s="2254"/>
      <c r="U18" s="2251"/>
      <c r="V18" s="2243"/>
      <c r="W18" s="2243"/>
      <c r="X18" s="2243"/>
      <c r="Y18" s="2243"/>
      <c r="Z18" s="2243"/>
      <c r="AA18" s="2243"/>
      <c r="AB18" s="167"/>
      <c r="AC18" s="172"/>
      <c r="AD18" s="186"/>
      <c r="AE18" s="186"/>
      <c r="AF18" s="186"/>
      <c r="AG18" s="128"/>
      <c r="AH18" s="186"/>
      <c r="AI18" s="186"/>
      <c r="AJ18" s="186"/>
      <c r="AK18" s="186"/>
      <c r="AL18" s="186"/>
      <c r="AM18" s="151"/>
      <c r="AN18" s="151"/>
      <c r="AO18" s="151"/>
      <c r="AP18" s="151"/>
      <c r="AQ18" s="151"/>
      <c r="AR18" s="151"/>
      <c r="AS18" s="151"/>
      <c r="AT18" s="15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row>
    <row r="19" spans="1:85" s="1" customFormat="1" ht="18.75" customHeight="1" x14ac:dyDescent="0.25">
      <c r="A19" s="1719" t="s">
        <v>189</v>
      </c>
      <c r="B19" s="1719"/>
      <c r="C19" s="1719"/>
      <c r="D19" s="1719"/>
      <c r="E19" s="1719"/>
      <c r="F19" s="1719"/>
      <c r="G19" s="1719"/>
      <c r="H19" s="1720"/>
      <c r="I19" s="1611"/>
      <c r="J19" s="1646"/>
      <c r="K19" s="1646"/>
      <c r="L19" s="1612"/>
      <c r="M19" s="1611"/>
      <c r="N19" s="1646"/>
      <c r="O19" s="1646"/>
      <c r="P19" s="1612"/>
      <c r="Q19" s="2252" t="str">
        <f>IF(I19="","",IF($M$22="",+I19,AVERAGE(I19:P19)))</f>
        <v/>
      </c>
      <c r="R19" s="2253"/>
      <c r="S19" s="2253"/>
      <c r="T19" s="2254"/>
      <c r="U19" s="2251"/>
      <c r="V19" s="2243"/>
      <c r="W19" s="2243"/>
      <c r="X19" s="2243"/>
      <c r="Y19" s="2243"/>
      <c r="Z19" s="2243"/>
      <c r="AA19" s="2243"/>
      <c r="AB19" s="167"/>
      <c r="AC19" s="172"/>
      <c r="AD19" s="186"/>
      <c r="AE19" s="186"/>
      <c r="AF19" s="186"/>
      <c r="AG19" s="128"/>
      <c r="AH19" s="186"/>
      <c r="AI19" s="186"/>
      <c r="AJ19" s="186"/>
      <c r="AK19" s="186"/>
      <c r="AL19" s="186"/>
      <c r="AM19" s="186"/>
      <c r="AN19" s="186"/>
      <c r="AO19" s="186"/>
      <c r="AP19" s="186"/>
      <c r="AQ19" s="186"/>
      <c r="AR19" s="186"/>
      <c r="AS19" s="186"/>
      <c r="AT19" s="15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row>
    <row r="20" spans="1:85" s="1" customFormat="1" ht="18.75" customHeight="1" x14ac:dyDescent="0.25">
      <c r="A20" s="1719" t="s">
        <v>190</v>
      </c>
      <c r="B20" s="1719"/>
      <c r="C20" s="1719"/>
      <c r="D20" s="1719"/>
      <c r="E20" s="1719"/>
      <c r="F20" s="1719"/>
      <c r="G20" s="1719"/>
      <c r="H20" s="1720"/>
      <c r="I20" s="1611"/>
      <c r="J20" s="1646"/>
      <c r="K20" s="1646"/>
      <c r="L20" s="1612"/>
      <c r="M20" s="1611"/>
      <c r="N20" s="1646"/>
      <c r="O20" s="1646"/>
      <c r="P20" s="1612"/>
      <c r="Q20" s="2252" t="str">
        <f>IF(I20="","",IF($M$22="",+I20,AVERAGE(I20:P20)))</f>
        <v/>
      </c>
      <c r="R20" s="2253"/>
      <c r="S20" s="2253"/>
      <c r="T20" s="2254"/>
      <c r="U20" s="2251"/>
      <c r="V20" s="2243"/>
      <c r="W20" s="2243"/>
      <c r="X20" s="2243"/>
      <c r="Y20" s="2243"/>
      <c r="Z20" s="2243"/>
      <c r="AA20" s="2243"/>
      <c r="AB20" s="167"/>
      <c r="AC20" s="172"/>
      <c r="AD20" s="186"/>
      <c r="AE20" s="186"/>
      <c r="AF20" s="186"/>
      <c r="AG20" s="128"/>
      <c r="AH20" s="186"/>
      <c r="AI20" s="186"/>
      <c r="AJ20" s="186"/>
      <c r="AK20" s="186"/>
      <c r="AL20" s="186"/>
      <c r="AM20" s="186"/>
      <c r="AN20" s="186"/>
      <c r="AO20" s="186"/>
      <c r="AP20" s="186"/>
      <c r="AQ20" s="186"/>
      <c r="AR20" s="186"/>
      <c r="AS20" s="186"/>
      <c r="AT20" s="15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row>
    <row r="21" spans="1:85" s="1" customFormat="1" ht="18.75" customHeight="1" x14ac:dyDescent="0.25">
      <c r="A21" s="1719" t="s">
        <v>191</v>
      </c>
      <c r="B21" s="1719"/>
      <c r="C21" s="1719"/>
      <c r="D21" s="1719"/>
      <c r="E21" s="1719"/>
      <c r="F21" s="1719"/>
      <c r="G21" s="1719"/>
      <c r="H21" s="1720"/>
      <c r="I21" s="1611"/>
      <c r="J21" s="1646"/>
      <c r="K21" s="1646"/>
      <c r="L21" s="1612"/>
      <c r="M21" s="1611"/>
      <c r="N21" s="1646"/>
      <c r="O21" s="1646"/>
      <c r="P21" s="1612"/>
      <c r="Q21" s="2276" t="str">
        <f>IF(I21="","",IF($M$22="",+I21,AVERAGE(I21:P21)))</f>
        <v/>
      </c>
      <c r="R21" s="2277"/>
      <c r="S21" s="2277"/>
      <c r="T21" s="2278"/>
      <c r="U21" s="2251"/>
      <c r="V21" s="2243"/>
      <c r="W21" s="2243"/>
      <c r="X21" s="2243"/>
      <c r="Y21" s="2243"/>
      <c r="Z21" s="2243"/>
      <c r="AA21" s="2243"/>
      <c r="AB21" s="167"/>
      <c r="AC21" s="172"/>
      <c r="AD21" s="186"/>
      <c r="AE21" s="186"/>
      <c r="AF21" s="186"/>
      <c r="AG21" s="128"/>
      <c r="AH21" s="186"/>
      <c r="AI21" s="186"/>
      <c r="AJ21" s="186"/>
      <c r="AK21" s="186"/>
      <c r="AL21" s="186"/>
      <c r="AM21" s="186"/>
      <c r="AN21" s="186"/>
      <c r="AO21" s="186"/>
      <c r="AP21" s="186"/>
      <c r="AQ21" s="186"/>
      <c r="AR21" s="186"/>
      <c r="AS21" s="186"/>
      <c r="AT21" s="15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row>
    <row r="22" spans="1:85" ht="18.75" customHeight="1" x14ac:dyDescent="0.25">
      <c r="A22" s="2206" t="s">
        <v>367</v>
      </c>
      <c r="B22" s="2206"/>
      <c r="C22" s="2206"/>
      <c r="D22" s="2206"/>
      <c r="E22" s="2206"/>
      <c r="F22" s="2206"/>
      <c r="G22" s="2206"/>
      <c r="H22" s="2235"/>
      <c r="I22" s="2246" t="str">
        <f>IF(I15="","",SUM(I15,I17:L21))</f>
        <v/>
      </c>
      <c r="J22" s="2247"/>
      <c r="K22" s="2247"/>
      <c r="L22" s="2247"/>
      <c r="M22" s="2246" t="str">
        <f>IF(M15="","",SUM(M15,M17:P21))</f>
        <v/>
      </c>
      <c r="N22" s="2247"/>
      <c r="O22" s="2247"/>
      <c r="P22" s="2247"/>
      <c r="Q22" s="2246" t="str">
        <f>IF(Q15="","",SUM(Q15,Q17:T21))</f>
        <v/>
      </c>
      <c r="R22" s="2247"/>
      <c r="S22" s="2247"/>
      <c r="T22" s="2247"/>
      <c r="U22" s="2241" t="str">
        <f>IF(OR(M22="",I22=""),"",+(I22-M22)/I22)</f>
        <v/>
      </c>
      <c r="V22" s="2242"/>
      <c r="W22" s="2243" t="s">
        <v>668</v>
      </c>
      <c r="X22" s="2243"/>
      <c r="Y22" s="2243"/>
      <c r="Z22" s="2243"/>
      <c r="AA22" s="2243"/>
      <c r="AB22" s="166"/>
      <c r="AG22" s="128"/>
      <c r="AM22" s="186"/>
      <c r="AN22" s="186"/>
      <c r="AO22" s="186"/>
      <c r="AP22" s="186"/>
      <c r="AQ22" s="186"/>
      <c r="AR22" s="186"/>
    </row>
    <row r="23" spans="1:85" ht="15.75" x14ac:dyDescent="0.25">
      <c r="A23" s="168"/>
      <c r="B23" s="168"/>
      <c r="C23" s="168"/>
      <c r="D23" s="168"/>
      <c r="E23" s="168"/>
      <c r="F23" s="168"/>
      <c r="G23" s="163"/>
      <c r="H23" s="168"/>
      <c r="I23" s="168"/>
      <c r="J23" s="168"/>
      <c r="K23" s="168"/>
      <c r="L23" s="168"/>
      <c r="M23" s="168"/>
      <c r="N23" s="168"/>
      <c r="O23" s="168"/>
      <c r="P23" s="165"/>
      <c r="Q23" s="165"/>
      <c r="R23" s="165"/>
      <c r="S23" s="171"/>
      <c r="T23" s="171"/>
      <c r="V23" s="2250" t="str">
        <f>IF(U22="","",IF(U22&gt;0.101,"CARE: Growth over 10%",IF(U22&lt;0,"CARE: Growth Negative","")))</f>
        <v/>
      </c>
      <c r="W23" s="2250"/>
      <c r="X23" s="2250"/>
      <c r="Y23" s="2250"/>
      <c r="Z23" s="2250"/>
      <c r="AA23" s="2250"/>
      <c r="AB23" s="166"/>
      <c r="AG23" s="128"/>
      <c r="AM23" s="186"/>
      <c r="AN23" s="186"/>
      <c r="AO23" s="186"/>
      <c r="AP23" s="186"/>
      <c r="AQ23" s="186"/>
      <c r="AR23" s="186"/>
    </row>
    <row r="24" spans="1:85" ht="7.9" customHeight="1" x14ac:dyDescent="0.25">
      <c r="A24" s="645"/>
      <c r="B24" s="645"/>
      <c r="C24" s="645"/>
      <c r="D24" s="645"/>
      <c r="E24" s="645"/>
      <c r="F24" s="645"/>
      <c r="G24" s="646"/>
      <c r="H24" s="645"/>
      <c r="I24" s="168"/>
      <c r="J24" s="168"/>
      <c r="K24" s="168"/>
      <c r="L24" s="168"/>
      <c r="M24" s="168"/>
      <c r="N24" s="168"/>
      <c r="O24" s="168"/>
      <c r="P24" s="21"/>
    </row>
    <row r="25" spans="1:85" ht="26.25" x14ac:dyDescent="0.25">
      <c r="A25" s="1718" t="s">
        <v>377</v>
      </c>
      <c r="B25" s="1718"/>
      <c r="C25" s="1718"/>
      <c r="D25" s="1718"/>
      <c r="E25" s="1718"/>
      <c r="F25" s="1718"/>
      <c r="G25" s="1718"/>
      <c r="H25" s="1718"/>
      <c r="I25" s="1718"/>
      <c r="J25" s="1718"/>
      <c r="K25" s="1718"/>
      <c r="L25" s="1718"/>
      <c r="M25" s="1718"/>
      <c r="N25" s="1718"/>
      <c r="O25" s="1718"/>
      <c r="P25" s="1718"/>
      <c r="Q25" s="653"/>
      <c r="R25" s="165"/>
      <c r="S25" s="165"/>
      <c r="T25" s="165"/>
      <c r="U25" s="165"/>
      <c r="V25" s="170"/>
      <c r="W25" s="170"/>
      <c r="X25" s="165"/>
      <c r="Y25" s="165"/>
      <c r="Z25" s="165"/>
      <c r="AA25" s="166"/>
    </row>
    <row r="26" spans="1:85" ht="87" customHeight="1" x14ac:dyDescent="0.25">
      <c r="A26" s="2264"/>
      <c r="B26" s="2265"/>
      <c r="C26" s="2265"/>
      <c r="D26" s="2265"/>
      <c r="E26" s="2265"/>
      <c r="F26" s="2265"/>
      <c r="G26" s="2265"/>
      <c r="H26" s="2265"/>
      <c r="I26" s="2265"/>
      <c r="J26" s="2265"/>
      <c r="K26" s="2265"/>
      <c r="L26" s="2265"/>
      <c r="M26" s="2265"/>
      <c r="N26" s="2265"/>
      <c r="O26" s="2265"/>
      <c r="P26" s="2265"/>
      <c r="Q26" s="2265"/>
      <c r="R26" s="2265"/>
      <c r="S26" s="2265"/>
      <c r="T26" s="2265"/>
      <c r="U26" s="2265"/>
      <c r="V26" s="2265"/>
      <c r="W26" s="2265"/>
      <c r="X26" s="2265"/>
      <c r="Y26" s="2265"/>
      <c r="Z26" s="2265"/>
      <c r="AA26" s="2266"/>
    </row>
  </sheetData>
  <mergeCells count="100">
    <mergeCell ref="AQ10:AS10"/>
    <mergeCell ref="A16:F16"/>
    <mergeCell ref="I21:L21"/>
    <mergeCell ref="M21:P21"/>
    <mergeCell ref="Q21:T21"/>
    <mergeCell ref="Q18:T18"/>
    <mergeCell ref="A19:H19"/>
    <mergeCell ref="A18:H18"/>
    <mergeCell ref="A17:H17"/>
    <mergeCell ref="A20:H20"/>
    <mergeCell ref="A21:H21"/>
    <mergeCell ref="A15:H15"/>
    <mergeCell ref="A14:H14"/>
    <mergeCell ref="A13:H13"/>
    <mergeCell ref="A12:H12"/>
    <mergeCell ref="A11:H11"/>
    <mergeCell ref="AH7:AJ7"/>
    <mergeCell ref="AE8:AG8"/>
    <mergeCell ref="AH8:AJ8"/>
    <mergeCell ref="AE7:AG7"/>
    <mergeCell ref="AE11:AG11"/>
    <mergeCell ref="AH11:AJ11"/>
    <mergeCell ref="AE10:AG10"/>
    <mergeCell ref="AH10:AJ10"/>
    <mergeCell ref="A26:AA26"/>
    <mergeCell ref="A25:P25"/>
    <mergeCell ref="AE9:AG9"/>
    <mergeCell ref="AH9:AJ9"/>
    <mergeCell ref="U10:AA10"/>
    <mergeCell ref="U20:AA20"/>
    <mergeCell ref="U11:AA11"/>
    <mergeCell ref="U12:AA12"/>
    <mergeCell ref="M11:P11"/>
    <mergeCell ref="M10:P10"/>
    <mergeCell ref="I10:L10"/>
    <mergeCell ref="Q10:T10"/>
    <mergeCell ref="I11:L11"/>
    <mergeCell ref="U19:AA19"/>
    <mergeCell ref="U18:AA18"/>
    <mergeCell ref="I18:L18"/>
    <mergeCell ref="M12:P12"/>
    <mergeCell ref="Q12:T12"/>
    <mergeCell ref="I19:L19"/>
    <mergeCell ref="Q11:T11"/>
    <mergeCell ref="W6:AA6"/>
    <mergeCell ref="I15:L15"/>
    <mergeCell ref="M15:P15"/>
    <mergeCell ref="U15:V15"/>
    <mergeCell ref="W15:AA15"/>
    <mergeCell ref="Q14:T14"/>
    <mergeCell ref="Q15:T15"/>
    <mergeCell ref="Q19:T19"/>
    <mergeCell ref="AD5:AH5"/>
    <mergeCell ref="A22:H22"/>
    <mergeCell ref="U17:AA17"/>
    <mergeCell ref="U21:AA21"/>
    <mergeCell ref="U13:AA13"/>
    <mergeCell ref="U14:AA14"/>
    <mergeCell ref="I17:L17"/>
    <mergeCell ref="M17:P17"/>
    <mergeCell ref="Q17:T17"/>
    <mergeCell ref="I13:L13"/>
    <mergeCell ref="Q20:T20"/>
    <mergeCell ref="Q22:T22"/>
    <mergeCell ref="Q13:T13"/>
    <mergeCell ref="M13:P13"/>
    <mergeCell ref="I14:L14"/>
    <mergeCell ref="M14:P14"/>
    <mergeCell ref="V23:AA23"/>
    <mergeCell ref="A1:U1"/>
    <mergeCell ref="B3:H3"/>
    <mergeCell ref="I3:S3"/>
    <mergeCell ref="B6:H6"/>
    <mergeCell ref="I6:S6"/>
    <mergeCell ref="B8:Z8"/>
    <mergeCell ref="B4:H4"/>
    <mergeCell ref="B5:H5"/>
    <mergeCell ref="B7:H7"/>
    <mergeCell ref="I4:S4"/>
    <mergeCell ref="I5:S5"/>
    <mergeCell ref="I7:S7"/>
    <mergeCell ref="U3:V3"/>
    <mergeCell ref="U4:V4"/>
    <mergeCell ref="U5:V5"/>
    <mergeCell ref="A2:AA2"/>
    <mergeCell ref="U22:V22"/>
    <mergeCell ref="W22:AA22"/>
    <mergeCell ref="A9:H9"/>
    <mergeCell ref="I9:P9"/>
    <mergeCell ref="U16:V16"/>
    <mergeCell ref="W3:AA3"/>
    <mergeCell ref="W4:AA4"/>
    <mergeCell ref="W5:AA5"/>
    <mergeCell ref="I20:L20"/>
    <mergeCell ref="M20:P20"/>
    <mergeCell ref="I22:L22"/>
    <mergeCell ref="M22:P22"/>
    <mergeCell ref="M19:P19"/>
    <mergeCell ref="I12:L12"/>
    <mergeCell ref="M18:P18"/>
  </mergeCells>
  <conditionalFormatting sqref="I10:L10">
    <cfRule type="expression" dxfId="45" priority="500">
      <formula>$I$10&lt;$M$10</formula>
    </cfRule>
  </conditionalFormatting>
  <dataValidations disablePrompts="1" count="1">
    <dataValidation type="whole" operator="lessThan" allowBlank="1" showInputMessage="1" showErrorMessage="1" errorTitle="Negative Number Only" error="Commission must be a negative Number_x000a_For eg -$15,000" promptTitle="Negative Number Only" sqref="I12 M12 I14 M14">
      <formula1>1</formula1>
    </dataValidation>
  </dataValidations>
  <hyperlinks>
    <hyperlink ref="AD5" r:id="rId1"/>
  </hyperlinks>
  <printOptions horizontalCentered="1"/>
  <pageMargins left="0.23622047244094491" right="3.937007874015748E-2" top="0.74803149606299213" bottom="0.74803149606299213" header="0.31496062992125984" footer="0"/>
  <pageSetup paperSize="9" orientation="portrait" r:id="rId2"/>
  <headerFooter alignWithMargins="0">
    <oddHeader>&amp;C&amp;G</oddHeader>
    <oddFooter>&amp;R&amp;G</oddFooter>
  </headerFooter>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Settings!$Z$3:$Z$12</xm:f>
          </x14:formula1>
          <xm:sqref>W3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CE151"/>
  <sheetViews>
    <sheetView showGridLines="0" showRuler="0" view="pageLayout" zoomScale="106" zoomScaleNormal="100" zoomScalePageLayoutView="106" workbookViewId="0">
      <selection activeCell="A8" sqref="A8"/>
    </sheetView>
  </sheetViews>
  <sheetFormatPr defaultColWidth="3.5703125" defaultRowHeight="18.75" customHeight="1" x14ac:dyDescent="0.25"/>
  <cols>
    <col min="1" max="1" width="36" style="462" customWidth="1"/>
    <col min="2" max="4" width="23.140625" style="461" customWidth="1"/>
    <col min="5" max="5" width="3.5703125" style="453"/>
    <col min="6" max="13" width="3.5703125" style="457"/>
    <col min="14" max="14" width="3.5703125" style="458"/>
    <col min="15" max="18" width="3.5703125" style="457"/>
    <col min="19" max="24" width="3.5703125" style="444"/>
    <col min="25" max="26" width="3.5703125" style="444" customWidth="1"/>
    <col min="27" max="28" width="10.5703125" style="445" customWidth="1"/>
    <col min="29" max="37" width="3.5703125" style="445" customWidth="1"/>
    <col min="38" max="38" width="8.5703125" style="445" customWidth="1"/>
    <col min="39" max="39" width="11.28515625" style="445" customWidth="1"/>
    <col min="40" max="40" width="3.5703125" style="445" customWidth="1"/>
    <col min="41" max="43" width="8.5703125" style="445" customWidth="1"/>
    <col min="44" max="44" width="3.5703125" style="446" customWidth="1"/>
    <col min="45" max="83" width="3.5703125" style="444"/>
    <col min="84" max="16384" width="3.5703125" style="24"/>
  </cols>
  <sheetData>
    <row r="1" spans="1:83" ht="48" customHeight="1" x14ac:dyDescent="0.25">
      <c r="A1" s="782" t="s">
        <v>531</v>
      </c>
      <c r="B1" s="782"/>
      <c r="C1" s="782"/>
      <c r="E1" s="454"/>
      <c r="G1" s="699" t="s">
        <v>434</v>
      </c>
      <c r="H1" s="699"/>
      <c r="I1" s="699"/>
      <c r="J1" s="699"/>
      <c r="K1" s="699"/>
      <c r="L1" s="699"/>
      <c r="M1" s="699"/>
      <c r="N1" s="699"/>
      <c r="O1" s="699"/>
      <c r="P1" s="699"/>
      <c r="Q1" s="699"/>
      <c r="R1" s="699"/>
      <c r="S1" s="699"/>
      <c r="T1" s="699"/>
      <c r="U1" s="699"/>
      <c r="V1" s="699"/>
      <c r="W1" s="699"/>
      <c r="X1" s="699"/>
      <c r="Y1" s="699"/>
      <c r="Z1" s="699"/>
      <c r="AA1" s="699"/>
      <c r="AB1" s="699"/>
      <c r="AC1" s="699"/>
      <c r="AD1" s="699"/>
    </row>
    <row r="2" spans="1:83" s="27" customFormat="1" ht="11.25" x14ac:dyDescent="0.2">
      <c r="A2" s="700"/>
      <c r="B2" s="700"/>
      <c r="C2" s="700"/>
      <c r="D2" s="700"/>
      <c r="E2" s="701"/>
      <c r="F2" s="702"/>
      <c r="G2" s="702"/>
      <c r="H2" s="702"/>
      <c r="I2" s="702"/>
      <c r="J2" s="702"/>
      <c r="K2" s="702"/>
      <c r="L2" s="702"/>
      <c r="M2" s="702"/>
      <c r="N2" s="702"/>
      <c r="O2" s="702"/>
      <c r="P2" s="703"/>
      <c r="Q2" s="703"/>
      <c r="R2" s="703"/>
      <c r="S2" s="153"/>
      <c r="T2" s="153"/>
      <c r="U2" s="153"/>
      <c r="V2" s="153"/>
      <c r="W2" s="153"/>
      <c r="X2" s="153"/>
      <c r="Y2" s="153"/>
      <c r="Z2" s="153"/>
      <c r="AA2" s="704"/>
      <c r="AB2" s="704"/>
      <c r="AC2" s="704"/>
      <c r="AD2" s="704"/>
      <c r="AE2" s="704"/>
      <c r="AF2" s="704"/>
      <c r="AG2" s="704"/>
      <c r="AH2" s="704"/>
      <c r="AI2" s="704"/>
      <c r="AJ2" s="704"/>
      <c r="AK2" s="660"/>
      <c r="AL2" s="660"/>
      <c r="AM2" s="660"/>
      <c r="AN2" s="660"/>
      <c r="AO2" s="660"/>
      <c r="AP2" s="660"/>
      <c r="AQ2" s="660"/>
      <c r="AR2" s="660"/>
      <c r="AS2" s="705"/>
      <c r="AT2" s="705"/>
      <c r="AU2" s="705"/>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row>
    <row r="3" spans="1:83" ht="15" x14ac:dyDescent="0.25">
      <c r="A3" s="687" t="s">
        <v>669</v>
      </c>
      <c r="B3" s="691" t="str">
        <f>+Profile!BE8</f>
        <v xml:space="preserve"> </v>
      </c>
      <c r="C3" s="691"/>
      <c r="D3" s="687"/>
      <c r="E3" s="454"/>
      <c r="F3" s="459"/>
      <c r="G3" s="459"/>
      <c r="H3" s="459"/>
      <c r="I3" s="459"/>
      <c r="J3" s="459"/>
      <c r="K3" s="459"/>
      <c r="L3" s="459"/>
      <c r="M3" s="459"/>
      <c r="N3" s="459"/>
      <c r="O3" s="459"/>
      <c r="P3" s="460"/>
      <c r="Q3" s="460"/>
      <c r="R3" s="460"/>
      <c r="AA3" s="447"/>
      <c r="AB3" s="447"/>
      <c r="AC3" s="447"/>
      <c r="AD3" s="447"/>
      <c r="AE3" s="447"/>
      <c r="AF3" s="447"/>
      <c r="AG3" s="447"/>
      <c r="AH3" s="447"/>
      <c r="AI3" s="447"/>
      <c r="AJ3" s="447"/>
      <c r="AK3" s="447"/>
      <c r="AL3" s="447"/>
      <c r="AM3" s="447"/>
      <c r="AN3" s="447"/>
      <c r="AO3" s="448"/>
      <c r="AP3" s="448"/>
      <c r="AQ3" s="448"/>
      <c r="AR3" s="447"/>
      <c r="AS3" s="131"/>
      <c r="AT3" s="131"/>
      <c r="AU3" s="131"/>
    </row>
    <row r="4" spans="1:83" s="74" customFormat="1" ht="21" x14ac:dyDescent="0.25">
      <c r="A4" s="687" t="s">
        <v>689</v>
      </c>
      <c r="B4" s="768" t="str">
        <f>+PurchaseLoanAmount</f>
        <v/>
      </c>
      <c r="C4" s="687"/>
      <c r="D4" s="687"/>
      <c r="E4" s="454"/>
      <c r="F4" s="459"/>
      <c r="G4" s="459"/>
      <c r="H4" s="459"/>
      <c r="I4" s="459"/>
      <c r="J4" s="459"/>
      <c r="K4" s="459"/>
      <c r="L4" s="459"/>
      <c r="M4" s="459"/>
      <c r="N4" s="459"/>
      <c r="O4" s="459"/>
      <c r="P4" s="460"/>
      <c r="Q4" s="460"/>
      <c r="R4" s="460"/>
      <c r="S4" s="444"/>
      <c r="T4" s="444"/>
      <c r="U4" s="444"/>
      <c r="V4" s="444"/>
      <c r="W4" s="444"/>
      <c r="X4" s="444"/>
      <c r="Y4" s="441"/>
      <c r="Z4" s="441"/>
      <c r="AA4" s="174"/>
      <c r="AB4" s="174"/>
      <c r="AC4" s="174"/>
      <c r="AD4" s="174"/>
      <c r="AE4" s="174"/>
      <c r="AF4" s="174"/>
      <c r="AG4" s="174"/>
      <c r="AH4" s="174"/>
      <c r="AI4" s="174"/>
      <c r="AJ4" s="174"/>
      <c r="AK4" s="447"/>
      <c r="AL4" s="447"/>
      <c r="AM4" s="447"/>
      <c r="AN4" s="447"/>
      <c r="AO4" s="447"/>
      <c r="AP4" s="447"/>
      <c r="AQ4" s="447"/>
      <c r="AR4" s="447"/>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row>
    <row r="5" spans="1:83" s="27" customFormat="1" ht="8.65" customHeight="1" x14ac:dyDescent="0.2">
      <c r="A5" s="689"/>
      <c r="B5" s="698"/>
      <c r="C5" s="698"/>
      <c r="D5" s="698"/>
      <c r="E5" s="701"/>
      <c r="F5" s="702"/>
      <c r="G5" s="702"/>
      <c r="H5" s="702"/>
      <c r="I5" s="702"/>
      <c r="J5" s="702"/>
      <c r="K5" s="702"/>
      <c r="L5" s="702"/>
      <c r="M5" s="702"/>
      <c r="N5" s="702"/>
      <c r="O5" s="702"/>
      <c r="P5" s="703"/>
      <c r="Q5" s="703"/>
      <c r="R5" s="703"/>
      <c r="S5" s="153"/>
      <c r="T5" s="153"/>
      <c r="U5" s="153"/>
      <c r="V5" s="153"/>
      <c r="W5" s="153"/>
      <c r="X5" s="153"/>
      <c r="Y5" s="706"/>
      <c r="Z5" s="707"/>
      <c r="AA5" s="673"/>
      <c r="AB5" s="708"/>
      <c r="AC5" s="708"/>
      <c r="AD5" s="708"/>
      <c r="AE5" s="708"/>
      <c r="AF5" s="708"/>
      <c r="AG5" s="660"/>
      <c r="AH5" s="660"/>
      <c r="AI5" s="660"/>
      <c r="AJ5" s="660"/>
      <c r="AK5" s="660"/>
      <c r="AL5" s="661"/>
      <c r="AM5" s="662"/>
      <c r="AN5" s="660"/>
      <c r="AO5" s="663"/>
      <c r="AP5" s="663"/>
      <c r="AQ5" s="663"/>
      <c r="AR5" s="660"/>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row>
    <row r="6" spans="1:83" s="1" customFormat="1" ht="23.25" customHeight="1" x14ac:dyDescent="0.25">
      <c r="A6" s="887"/>
      <c r="B6" s="888"/>
      <c r="C6" s="888"/>
      <c r="D6" s="888"/>
      <c r="E6" s="454"/>
      <c r="F6" s="459"/>
      <c r="G6" s="459"/>
      <c r="H6" s="459"/>
      <c r="I6" s="459"/>
      <c r="J6" s="459"/>
      <c r="K6" s="459"/>
      <c r="L6" s="459"/>
      <c r="M6" s="459"/>
      <c r="N6" s="459"/>
      <c r="O6" s="459"/>
      <c r="P6" s="460"/>
      <c r="Q6" s="460"/>
      <c r="R6" s="460"/>
      <c r="S6" s="444"/>
      <c r="T6" s="444"/>
      <c r="U6" s="444"/>
      <c r="V6" s="444"/>
      <c r="W6" s="444"/>
      <c r="X6" s="444"/>
      <c r="Y6" s="442"/>
      <c r="Z6" s="443"/>
      <c r="AA6" s="180"/>
      <c r="AB6" s="176"/>
      <c r="AC6" s="2139"/>
      <c r="AD6" s="2139"/>
      <c r="AE6" s="2139"/>
      <c r="AF6" s="2140"/>
      <c r="AG6" s="2140"/>
      <c r="AH6" s="2140"/>
      <c r="AI6" s="447"/>
      <c r="AJ6" s="447"/>
      <c r="AK6" s="447"/>
      <c r="AL6" s="449"/>
      <c r="AM6" s="450"/>
      <c r="AN6" s="447"/>
      <c r="AO6" s="451"/>
      <c r="AP6" s="451"/>
      <c r="AQ6" s="451"/>
      <c r="AR6" s="447"/>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row>
    <row r="7" spans="1:83" s="1" customFormat="1" ht="26.25" customHeight="1" thickBot="1" x14ac:dyDescent="0.3">
      <c r="A7" s="971" t="s">
        <v>26</v>
      </c>
      <c r="B7" s="971"/>
      <c r="C7" s="972"/>
      <c r="D7" s="972"/>
      <c r="E7" s="455"/>
      <c r="F7" s="459"/>
      <c r="G7" s="459"/>
      <c r="H7" s="459"/>
      <c r="I7" s="459"/>
      <c r="J7" s="459"/>
      <c r="K7" s="459"/>
      <c r="L7" s="459"/>
      <c r="M7" s="459"/>
      <c r="N7" s="459"/>
      <c r="O7" s="459"/>
      <c r="P7" s="460"/>
      <c r="Q7" s="460"/>
      <c r="R7" s="460"/>
      <c r="S7" s="444"/>
      <c r="T7" s="444"/>
      <c r="U7" s="444"/>
      <c r="V7" s="444"/>
      <c r="W7" s="444"/>
      <c r="X7" s="444"/>
      <c r="Y7" s="442"/>
      <c r="Z7" s="151"/>
      <c r="AA7" s="439"/>
      <c r="AB7" s="440"/>
      <c r="AC7" s="2137"/>
      <c r="AD7" s="2137"/>
      <c r="AE7" s="2137"/>
      <c r="AF7" s="2138"/>
      <c r="AG7" s="2138"/>
      <c r="AH7" s="2138"/>
      <c r="AI7" s="447"/>
      <c r="AJ7" s="447"/>
      <c r="AK7" s="447"/>
      <c r="AL7" s="449"/>
      <c r="AM7" s="450"/>
      <c r="AN7" s="447"/>
      <c r="AO7" s="451"/>
      <c r="AP7" s="451"/>
      <c r="AQ7" s="451"/>
      <c r="AR7" s="447"/>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row>
    <row r="8" spans="1:83" s="665" customFormat="1" ht="18.75" customHeight="1" thickTop="1" x14ac:dyDescent="0.25">
      <c r="A8" s="973" t="s">
        <v>866</v>
      </c>
      <c r="B8" s="974"/>
      <c r="C8" s="974"/>
      <c r="D8" s="974"/>
      <c r="E8" s="901"/>
      <c r="F8" s="459"/>
      <c r="G8" s="459"/>
      <c r="H8" s="459"/>
      <c r="I8" s="459"/>
      <c r="J8" s="459"/>
      <c r="K8" s="459"/>
      <c r="L8" s="459"/>
      <c r="M8" s="459"/>
      <c r="N8" s="459"/>
      <c r="O8" s="459"/>
      <c r="P8" s="902"/>
      <c r="Q8" s="902"/>
      <c r="R8" s="902"/>
      <c r="S8" s="903"/>
      <c r="T8" s="903"/>
      <c r="U8" s="903"/>
      <c r="V8" s="903"/>
      <c r="W8" s="903"/>
      <c r="X8" s="903"/>
      <c r="Y8" s="904"/>
      <c r="Z8" s="905"/>
      <c r="AA8" s="906"/>
      <c r="AB8" s="907"/>
      <c r="AC8" s="906"/>
      <c r="AD8" s="906"/>
      <c r="AE8" s="906"/>
      <c r="AF8" s="907"/>
      <c r="AG8" s="907"/>
      <c r="AH8" s="907"/>
      <c r="AI8" s="908"/>
      <c r="AJ8" s="908"/>
      <c r="AK8" s="908"/>
      <c r="AL8" s="909"/>
      <c r="AM8" s="910"/>
      <c r="AN8" s="908"/>
      <c r="AO8" s="900"/>
      <c r="AP8" s="900"/>
      <c r="AQ8" s="900"/>
      <c r="AR8" s="908"/>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row>
    <row r="9" spans="1:83" s="1" customFormat="1" ht="54" customHeight="1" x14ac:dyDescent="0.25">
      <c r="A9" s="975" t="s">
        <v>626</v>
      </c>
      <c r="B9" s="976"/>
      <c r="C9" s="976"/>
      <c r="D9" s="976"/>
      <c r="E9" s="895"/>
      <c r="F9" s="459"/>
      <c r="G9" s="459"/>
      <c r="H9" s="459"/>
      <c r="I9" s="459"/>
      <c r="J9" s="459"/>
      <c r="K9" s="459"/>
      <c r="L9" s="459"/>
      <c r="M9" s="459"/>
      <c r="N9" s="459"/>
      <c r="O9" s="459"/>
      <c r="P9" s="896"/>
      <c r="Q9" s="896"/>
      <c r="R9" s="896"/>
      <c r="S9" s="444"/>
      <c r="T9" s="444"/>
      <c r="U9" s="444"/>
      <c r="V9" s="444"/>
      <c r="W9" s="444"/>
      <c r="X9" s="444"/>
      <c r="Y9" s="897"/>
      <c r="Z9" s="151"/>
      <c r="AA9" s="884"/>
      <c r="AB9" s="885"/>
      <c r="AC9" s="2137"/>
      <c r="AD9" s="2137"/>
      <c r="AE9" s="2137"/>
      <c r="AF9" s="2138"/>
      <c r="AG9" s="2138"/>
      <c r="AH9" s="2138"/>
      <c r="AI9" s="446"/>
      <c r="AJ9" s="446"/>
      <c r="AK9" s="446"/>
      <c r="AL9" s="446"/>
      <c r="AM9" s="446"/>
      <c r="AN9" s="446"/>
      <c r="AO9" s="446"/>
      <c r="AP9" s="446"/>
      <c r="AQ9" s="446"/>
      <c r="AR9" s="446"/>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row>
    <row r="10" spans="1:83" s="1" customFormat="1" ht="18.75" customHeight="1" x14ac:dyDescent="0.25">
      <c r="A10" s="975" t="s">
        <v>800</v>
      </c>
      <c r="B10" s="977"/>
      <c r="C10" s="977"/>
      <c r="D10" s="977"/>
      <c r="E10" s="895"/>
      <c r="F10" s="459"/>
      <c r="G10" s="459"/>
      <c r="H10" s="459"/>
      <c r="I10" s="459"/>
      <c r="J10" s="459"/>
      <c r="K10" s="459"/>
      <c r="L10" s="459"/>
      <c r="M10" s="459"/>
      <c r="N10" s="459"/>
      <c r="O10" s="459"/>
      <c r="P10" s="896"/>
      <c r="Q10" s="896"/>
      <c r="R10" s="896"/>
      <c r="S10" s="444"/>
      <c r="T10" s="444"/>
      <c r="U10" s="444"/>
      <c r="V10" s="444"/>
      <c r="W10" s="444"/>
      <c r="X10" s="444"/>
      <c r="Y10" s="897"/>
      <c r="Z10" s="151"/>
      <c r="AA10" s="884"/>
      <c r="AB10" s="885"/>
      <c r="AC10" s="2137"/>
      <c r="AD10" s="2137"/>
      <c r="AE10" s="2137"/>
      <c r="AF10" s="2138"/>
      <c r="AG10" s="2138"/>
      <c r="AH10" s="2138"/>
      <c r="AI10" s="446"/>
      <c r="AJ10" s="446"/>
      <c r="AK10" s="446"/>
      <c r="AL10" s="446"/>
      <c r="AM10" s="446"/>
      <c r="AN10" s="446"/>
      <c r="AO10" s="2282"/>
      <c r="AP10" s="2282"/>
      <c r="AQ10" s="2282"/>
      <c r="AR10" s="446"/>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row>
    <row r="11" spans="1:83" s="1" customFormat="1" ht="36" customHeight="1" x14ac:dyDescent="0.25">
      <c r="A11" s="975" t="s">
        <v>801</v>
      </c>
      <c r="B11" s="978"/>
      <c r="C11" s="978"/>
      <c r="D11" s="978"/>
      <c r="E11" s="895"/>
      <c r="F11" s="459"/>
      <c r="G11" s="459"/>
      <c r="H11" s="459"/>
      <c r="I11" s="459"/>
      <c r="J11" s="459"/>
      <c r="K11" s="459"/>
      <c r="L11" s="459"/>
      <c r="M11" s="459"/>
      <c r="N11" s="459"/>
      <c r="O11" s="459"/>
      <c r="P11" s="896"/>
      <c r="Q11" s="896"/>
      <c r="R11" s="896"/>
      <c r="S11" s="444"/>
      <c r="T11" s="444"/>
      <c r="U11" s="444"/>
      <c r="V11" s="444"/>
      <c r="W11" s="444"/>
      <c r="X11" s="444"/>
      <c r="Y11" s="897"/>
      <c r="Z11" s="151"/>
      <c r="AA11" s="884"/>
      <c r="AB11" s="885"/>
      <c r="AC11" s="2137"/>
      <c r="AD11" s="2137"/>
      <c r="AE11" s="2137"/>
      <c r="AF11" s="2138"/>
      <c r="AG11" s="2138"/>
      <c r="AH11" s="2138"/>
      <c r="AI11" s="446"/>
      <c r="AJ11" s="446"/>
      <c r="AK11" s="446"/>
      <c r="AL11" s="446"/>
      <c r="AM11" s="446"/>
      <c r="AN11" s="446"/>
      <c r="AO11" s="911"/>
      <c r="AP11" s="911"/>
      <c r="AQ11" s="900"/>
      <c r="AR11" s="446"/>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row>
    <row r="12" spans="1:83" s="1" customFormat="1" ht="28.9" customHeight="1" x14ac:dyDescent="0.25">
      <c r="A12" s="979" t="s">
        <v>802</v>
      </c>
      <c r="B12" s="980"/>
      <c r="C12" s="980"/>
      <c r="D12" s="981"/>
      <c r="E12" s="895"/>
      <c r="F12" s="459"/>
      <c r="G12" s="459"/>
      <c r="H12" s="459"/>
      <c r="I12" s="459"/>
      <c r="J12" s="459"/>
      <c r="K12" s="459"/>
      <c r="L12" s="459"/>
      <c r="M12" s="459"/>
      <c r="N12" s="459"/>
      <c r="O12" s="459"/>
      <c r="P12" s="896"/>
      <c r="Q12" s="896"/>
      <c r="R12" s="896"/>
      <c r="S12" s="444"/>
      <c r="T12" s="444"/>
      <c r="U12" s="444"/>
      <c r="V12" s="444"/>
      <c r="W12" s="444"/>
      <c r="X12" s="444"/>
      <c r="Y12" s="897"/>
      <c r="Z12" s="151"/>
      <c r="AA12" s="446"/>
      <c r="AB12" s="446"/>
      <c r="AC12" s="446"/>
      <c r="AD12" s="446"/>
      <c r="AE12" s="446"/>
      <c r="AF12" s="446"/>
      <c r="AG12" s="446"/>
      <c r="AH12" s="446"/>
      <c r="AI12" s="446"/>
      <c r="AJ12" s="446"/>
      <c r="AK12" s="446"/>
      <c r="AL12" s="446"/>
      <c r="AM12" s="446"/>
      <c r="AN12" s="446"/>
      <c r="AO12" s="898"/>
      <c r="AP12" s="899"/>
      <c r="AQ12" s="900"/>
      <c r="AR12" s="446"/>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row>
    <row r="13" spans="1:83" s="1" customFormat="1" ht="18" customHeight="1" x14ac:dyDescent="0.25">
      <c r="A13" s="982" t="s">
        <v>803</v>
      </c>
      <c r="B13" s="983"/>
      <c r="C13" s="983"/>
      <c r="D13" s="983"/>
      <c r="E13" s="895"/>
      <c r="F13" s="459"/>
      <c r="G13" s="459"/>
      <c r="H13" s="459"/>
      <c r="I13" s="459"/>
      <c r="J13" s="459"/>
      <c r="K13" s="459"/>
      <c r="L13" s="459"/>
      <c r="M13" s="459"/>
      <c r="N13" s="459"/>
      <c r="O13" s="459"/>
      <c r="P13" s="896"/>
      <c r="Q13" s="896"/>
      <c r="R13" s="896"/>
      <c r="S13" s="444"/>
      <c r="T13" s="444"/>
      <c r="U13" s="444"/>
      <c r="V13" s="444"/>
      <c r="W13" s="444"/>
      <c r="X13" s="444"/>
      <c r="Y13" s="897"/>
      <c r="Z13" s="151"/>
      <c r="AA13" s="446"/>
      <c r="AB13" s="446"/>
      <c r="AC13" s="446"/>
      <c r="AD13" s="446"/>
      <c r="AE13" s="446"/>
      <c r="AF13" s="446"/>
      <c r="AG13" s="446"/>
      <c r="AH13" s="446"/>
      <c r="AI13" s="446"/>
      <c r="AJ13" s="446"/>
      <c r="AK13" s="446"/>
      <c r="AL13" s="446"/>
      <c r="AM13" s="446"/>
      <c r="AN13" s="446"/>
      <c r="AO13" s="898"/>
      <c r="AP13" s="899"/>
      <c r="AQ13" s="900"/>
      <c r="AR13" s="446"/>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row>
    <row r="14" spans="1:83" s="1" customFormat="1" ht="28.9" customHeight="1" x14ac:dyDescent="0.25">
      <c r="A14" s="979" t="s">
        <v>804</v>
      </c>
      <c r="B14" s="984"/>
      <c r="C14" s="984"/>
      <c r="D14" s="985"/>
      <c r="E14" s="895"/>
      <c r="F14" s="459"/>
      <c r="G14" s="459"/>
      <c r="H14" s="459"/>
      <c r="I14" s="459"/>
      <c r="J14" s="459"/>
      <c r="K14" s="459"/>
      <c r="L14" s="459"/>
      <c r="M14" s="459"/>
      <c r="N14" s="459"/>
      <c r="O14" s="459"/>
      <c r="P14" s="896"/>
      <c r="Q14" s="896"/>
      <c r="R14" s="896"/>
      <c r="S14" s="444"/>
      <c r="T14" s="444"/>
      <c r="U14" s="444"/>
      <c r="V14" s="444"/>
      <c r="W14" s="444"/>
      <c r="X14" s="444"/>
      <c r="Y14" s="897"/>
      <c r="Z14" s="151"/>
      <c r="AA14" s="446"/>
      <c r="AB14" s="446"/>
      <c r="AC14" s="446"/>
      <c r="AD14" s="446"/>
      <c r="AE14" s="446"/>
      <c r="AF14" s="446"/>
      <c r="AG14" s="446"/>
      <c r="AH14" s="446"/>
      <c r="AI14" s="446"/>
      <c r="AJ14" s="446"/>
      <c r="AK14" s="446"/>
      <c r="AL14" s="446"/>
      <c r="AM14" s="446"/>
      <c r="AN14" s="446"/>
      <c r="AO14" s="898"/>
      <c r="AP14" s="899"/>
      <c r="AQ14" s="900"/>
      <c r="AR14" s="446"/>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row>
    <row r="15" spans="1:83" s="917" customFormat="1" ht="18" customHeight="1" x14ac:dyDescent="0.25">
      <c r="A15" s="975" t="s">
        <v>805</v>
      </c>
      <c r="B15" s="986"/>
      <c r="C15" s="986"/>
      <c r="D15" s="986"/>
      <c r="E15" s="456"/>
      <c r="F15" s="913"/>
      <c r="G15" s="913"/>
      <c r="H15" s="913"/>
      <c r="I15" s="913"/>
      <c r="J15" s="913"/>
      <c r="K15" s="913"/>
      <c r="L15" s="913"/>
      <c r="M15" s="913"/>
      <c r="N15" s="913"/>
      <c r="O15" s="913"/>
      <c r="P15" s="460"/>
      <c r="Q15" s="460"/>
      <c r="R15" s="460"/>
      <c r="S15" s="914"/>
      <c r="T15" s="914"/>
      <c r="U15" s="914"/>
      <c r="V15" s="914"/>
      <c r="W15" s="914"/>
      <c r="X15" s="914"/>
      <c r="Y15" s="442"/>
      <c r="Z15" s="771"/>
      <c r="AA15" s="915"/>
      <c r="AB15" s="915"/>
      <c r="AC15" s="915"/>
      <c r="AD15" s="915"/>
      <c r="AE15" s="915"/>
      <c r="AF15" s="915"/>
      <c r="AG15" s="915"/>
      <c r="AH15" s="915"/>
      <c r="AI15" s="915"/>
      <c r="AJ15" s="915"/>
      <c r="AK15" s="915"/>
      <c r="AL15" s="915"/>
      <c r="AM15" s="915"/>
      <c r="AN15" s="915"/>
      <c r="AO15" s="184"/>
      <c r="AP15" s="452"/>
      <c r="AQ15" s="183"/>
      <c r="AR15" s="915"/>
      <c r="AS15" s="916"/>
      <c r="AT15" s="916"/>
      <c r="AU15" s="916"/>
      <c r="AV15" s="916"/>
      <c r="AW15" s="916"/>
      <c r="AX15" s="916"/>
      <c r="AY15" s="916"/>
      <c r="AZ15" s="916"/>
      <c r="BA15" s="91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row>
    <row r="16" spans="1:83" s="1" customFormat="1" ht="18" customHeight="1" x14ac:dyDescent="0.25">
      <c r="A16" s="975" t="s">
        <v>862</v>
      </c>
      <c r="B16" s="977"/>
      <c r="C16" s="977"/>
      <c r="D16" s="977"/>
      <c r="E16" s="895"/>
      <c r="F16" s="459"/>
      <c r="G16" s="459"/>
      <c r="H16" s="459"/>
      <c r="I16" s="459"/>
      <c r="J16" s="459"/>
      <c r="K16" s="459"/>
      <c r="L16" s="459"/>
      <c r="M16" s="459"/>
      <c r="N16" s="459"/>
      <c r="O16" s="459"/>
      <c r="P16" s="896"/>
      <c r="Q16" s="896"/>
      <c r="R16" s="896"/>
      <c r="S16" s="444"/>
      <c r="T16" s="444"/>
      <c r="U16" s="444"/>
      <c r="V16" s="444"/>
      <c r="W16" s="444"/>
      <c r="X16" s="444"/>
      <c r="Y16" s="897"/>
      <c r="Z16" s="151"/>
      <c r="AA16" s="186"/>
      <c r="AB16" s="186"/>
      <c r="AC16" s="186"/>
      <c r="AD16" s="186"/>
      <c r="AE16" s="186"/>
      <c r="AF16" s="186"/>
      <c r="AG16" s="186"/>
      <c r="AH16" s="186"/>
      <c r="AI16" s="186"/>
      <c r="AJ16" s="446"/>
      <c r="AK16" s="446"/>
      <c r="AL16" s="446"/>
      <c r="AM16" s="446"/>
      <c r="AN16" s="446"/>
      <c r="AO16" s="898"/>
      <c r="AP16" s="899"/>
      <c r="AQ16" s="900"/>
      <c r="AR16" s="446"/>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row>
    <row r="17" spans="1:83" s="1" customFormat="1" ht="18" customHeight="1" x14ac:dyDescent="0.25">
      <c r="A17" s="975" t="s">
        <v>806</v>
      </c>
      <c r="B17" s="977"/>
      <c r="C17" s="977"/>
      <c r="D17" s="977"/>
      <c r="E17" s="895"/>
      <c r="F17" s="459"/>
      <c r="G17" s="459"/>
      <c r="H17" s="459"/>
      <c r="I17" s="459"/>
      <c r="J17" s="459"/>
      <c r="K17" s="459"/>
      <c r="L17" s="459"/>
      <c r="M17" s="459"/>
      <c r="N17" s="459"/>
      <c r="O17" s="459"/>
      <c r="P17" s="896"/>
      <c r="Q17" s="896"/>
      <c r="R17" s="896"/>
      <c r="S17" s="444"/>
      <c r="T17" s="444"/>
      <c r="U17" s="444"/>
      <c r="V17" s="444"/>
      <c r="W17" s="444"/>
      <c r="X17" s="444"/>
      <c r="Y17" s="897"/>
      <c r="Z17" s="151"/>
      <c r="AA17" s="445"/>
      <c r="AB17" s="186"/>
      <c r="AC17" s="186"/>
      <c r="AD17" s="186"/>
      <c r="AE17" s="186"/>
      <c r="AF17" s="186"/>
      <c r="AG17" s="186"/>
      <c r="AH17" s="186"/>
      <c r="AI17" s="186"/>
      <c r="AJ17" s="446"/>
      <c r="AK17" s="446"/>
      <c r="AL17" s="446"/>
      <c r="AM17" s="446"/>
      <c r="AN17" s="446"/>
      <c r="AO17" s="898"/>
      <c r="AP17" s="912"/>
      <c r="AQ17" s="900"/>
      <c r="AR17" s="446"/>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row>
    <row r="18" spans="1:83" s="1" customFormat="1" ht="18" customHeight="1" x14ac:dyDescent="0.25">
      <c r="A18" s="975" t="s">
        <v>627</v>
      </c>
      <c r="B18" s="987"/>
      <c r="C18" s="987"/>
      <c r="D18" s="987"/>
      <c r="E18" s="895"/>
      <c r="F18" s="459"/>
      <c r="G18" s="459"/>
      <c r="H18" s="459"/>
      <c r="I18" s="459"/>
      <c r="J18" s="459"/>
      <c r="K18" s="459"/>
      <c r="L18" s="459"/>
      <c r="M18" s="459"/>
      <c r="N18" s="459"/>
      <c r="O18" s="459"/>
      <c r="P18" s="896"/>
      <c r="Q18" s="896"/>
      <c r="R18" s="896"/>
      <c r="S18" s="444"/>
      <c r="T18" s="444"/>
      <c r="U18" s="444"/>
      <c r="V18" s="444"/>
      <c r="W18" s="444"/>
      <c r="X18" s="444"/>
      <c r="Y18" s="897"/>
      <c r="Z18" s="151"/>
      <c r="AA18" s="445"/>
      <c r="AB18" s="186"/>
      <c r="AC18" s="186"/>
      <c r="AD18" s="186"/>
      <c r="AE18" s="186"/>
      <c r="AF18" s="186"/>
      <c r="AG18" s="186"/>
      <c r="AH18" s="186"/>
      <c r="AI18" s="186"/>
      <c r="AJ18" s="186"/>
      <c r="AK18" s="151"/>
      <c r="AL18" s="151"/>
      <c r="AM18" s="151"/>
      <c r="AN18" s="151"/>
      <c r="AO18" s="151"/>
      <c r="AP18" s="151"/>
      <c r="AQ18" s="151"/>
      <c r="AR18" s="15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row>
    <row r="19" spans="1:83" s="1" customFormat="1" ht="18" customHeight="1" x14ac:dyDescent="0.25">
      <c r="A19" s="975" t="s">
        <v>807</v>
      </c>
      <c r="B19" s="977"/>
      <c r="C19" s="977"/>
      <c r="D19" s="977"/>
      <c r="E19" s="895"/>
      <c r="F19" s="459"/>
      <c r="G19" s="459"/>
      <c r="H19" s="459"/>
      <c r="I19" s="459"/>
      <c r="J19" s="459"/>
      <c r="K19" s="459"/>
      <c r="L19" s="459"/>
      <c r="M19" s="459"/>
      <c r="N19" s="459"/>
      <c r="O19" s="459"/>
      <c r="P19" s="896"/>
      <c r="Q19" s="896"/>
      <c r="R19" s="896"/>
      <c r="S19" s="444"/>
      <c r="T19" s="444"/>
      <c r="U19" s="444"/>
      <c r="V19" s="444"/>
      <c r="W19" s="444"/>
      <c r="X19" s="444"/>
      <c r="Y19" s="897"/>
      <c r="Z19" s="151"/>
      <c r="AA19" s="445"/>
      <c r="AB19" s="186"/>
      <c r="AC19" s="186"/>
      <c r="AD19" s="186"/>
      <c r="AE19" s="186"/>
      <c r="AF19" s="186"/>
      <c r="AG19" s="186"/>
      <c r="AH19" s="186"/>
      <c r="AI19" s="186"/>
      <c r="AJ19" s="186"/>
      <c r="AK19" s="186"/>
      <c r="AL19" s="186"/>
      <c r="AM19" s="186"/>
      <c r="AN19" s="186"/>
      <c r="AO19" s="186"/>
      <c r="AP19" s="186"/>
      <c r="AQ19" s="186"/>
      <c r="AR19" s="15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row>
    <row r="20" spans="1:83" s="1" customFormat="1" ht="36" customHeight="1" x14ac:dyDescent="0.25">
      <c r="A20" s="975" t="s">
        <v>808</v>
      </c>
      <c r="B20" s="976"/>
      <c r="C20" s="976"/>
      <c r="D20" s="976"/>
      <c r="E20" s="895"/>
      <c r="F20" s="459"/>
      <c r="G20" s="459"/>
      <c r="H20" s="459"/>
      <c r="I20" s="459"/>
      <c r="J20" s="459"/>
      <c r="K20" s="459"/>
      <c r="L20" s="459"/>
      <c r="M20" s="459"/>
      <c r="N20" s="459"/>
      <c r="O20" s="459"/>
      <c r="P20" s="896"/>
      <c r="Q20" s="896"/>
      <c r="R20" s="896"/>
      <c r="S20" s="444"/>
      <c r="T20" s="444"/>
      <c r="U20" s="444"/>
      <c r="V20" s="444"/>
      <c r="W20" s="444"/>
      <c r="X20" s="444"/>
      <c r="Y20" s="897"/>
      <c r="Z20" s="151"/>
      <c r="AA20" s="445"/>
      <c r="AB20" s="186"/>
      <c r="AC20" s="186"/>
      <c r="AD20" s="186"/>
      <c r="AE20" s="186"/>
      <c r="AF20" s="186"/>
      <c r="AG20" s="186"/>
      <c r="AH20" s="186"/>
      <c r="AI20" s="186"/>
      <c r="AJ20" s="186"/>
      <c r="AK20" s="186"/>
      <c r="AL20" s="186"/>
      <c r="AM20" s="186"/>
      <c r="AN20" s="186"/>
      <c r="AO20" s="186"/>
      <c r="AP20" s="186"/>
      <c r="AQ20" s="186"/>
      <c r="AR20" s="15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row>
    <row r="21" spans="1:83" s="1" customFormat="1" ht="18" customHeight="1" x14ac:dyDescent="0.25">
      <c r="A21" s="975" t="s">
        <v>809</v>
      </c>
      <c r="B21" s="977"/>
      <c r="C21" s="977"/>
      <c r="D21" s="977"/>
      <c r="E21" s="895"/>
      <c r="F21" s="459"/>
      <c r="G21" s="459"/>
      <c r="H21" s="459"/>
      <c r="I21" s="459"/>
      <c r="J21" s="459"/>
      <c r="K21" s="459"/>
      <c r="L21" s="459"/>
      <c r="M21" s="459"/>
      <c r="N21" s="459"/>
      <c r="O21" s="459"/>
      <c r="P21" s="896"/>
      <c r="Q21" s="896"/>
      <c r="R21" s="896"/>
      <c r="S21" s="444"/>
      <c r="T21" s="444"/>
      <c r="U21" s="444"/>
      <c r="V21" s="444"/>
      <c r="W21" s="444"/>
      <c r="X21" s="444"/>
      <c r="Y21" s="897"/>
      <c r="Z21" s="151"/>
      <c r="AA21" s="445"/>
      <c r="AB21" s="186"/>
      <c r="AC21" s="186"/>
      <c r="AD21" s="186"/>
      <c r="AE21" s="186"/>
      <c r="AF21" s="186"/>
      <c r="AG21" s="186"/>
      <c r="AH21" s="186"/>
      <c r="AI21" s="186"/>
      <c r="AJ21" s="186"/>
      <c r="AK21" s="186"/>
      <c r="AL21" s="186"/>
      <c r="AM21" s="186"/>
      <c r="AN21" s="186"/>
      <c r="AO21" s="186"/>
      <c r="AP21" s="186"/>
      <c r="AQ21" s="186"/>
      <c r="AR21" s="15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row>
    <row r="22" spans="1:83" ht="18" customHeight="1" x14ac:dyDescent="0.25">
      <c r="A22" s="975" t="s">
        <v>810</v>
      </c>
      <c r="B22" s="977"/>
      <c r="C22" s="977"/>
      <c r="D22" s="977"/>
      <c r="E22" s="895"/>
      <c r="F22" s="459"/>
      <c r="G22" s="459"/>
      <c r="H22" s="459"/>
      <c r="I22" s="459"/>
      <c r="J22" s="459"/>
      <c r="K22" s="459"/>
      <c r="L22" s="459"/>
      <c r="M22" s="459"/>
      <c r="N22" s="459"/>
      <c r="O22" s="459"/>
      <c r="P22" s="896"/>
      <c r="Q22" s="896"/>
      <c r="R22" s="896"/>
      <c r="Y22" s="897"/>
      <c r="Z22" s="151"/>
      <c r="AK22" s="186"/>
      <c r="AL22" s="186"/>
      <c r="AM22" s="186"/>
      <c r="AN22" s="186"/>
      <c r="AO22" s="186"/>
      <c r="AP22" s="186"/>
    </row>
    <row r="23" spans="1:83" ht="18" customHeight="1" x14ac:dyDescent="0.25">
      <c r="A23" s="975" t="s">
        <v>811</v>
      </c>
      <c r="B23" s="977"/>
      <c r="C23" s="977"/>
      <c r="D23" s="977"/>
      <c r="E23" s="895"/>
      <c r="F23" s="459"/>
      <c r="G23" s="459"/>
      <c r="H23" s="459"/>
      <c r="I23" s="459"/>
      <c r="J23" s="459"/>
      <c r="K23" s="459"/>
      <c r="L23" s="459"/>
      <c r="M23" s="459"/>
      <c r="N23" s="459"/>
      <c r="O23" s="459"/>
      <c r="P23" s="896"/>
      <c r="Q23" s="896"/>
      <c r="R23" s="896"/>
      <c r="Y23" s="897"/>
      <c r="Z23" s="151"/>
      <c r="AK23" s="186"/>
      <c r="AL23" s="186"/>
      <c r="AM23" s="186"/>
      <c r="AN23" s="186"/>
      <c r="AO23" s="186"/>
      <c r="AP23" s="186"/>
    </row>
    <row r="24" spans="1:83" ht="54" customHeight="1" x14ac:dyDescent="0.25">
      <c r="A24" s="975" t="s">
        <v>812</v>
      </c>
      <c r="B24" s="976"/>
      <c r="C24" s="976"/>
      <c r="D24" s="976"/>
      <c r="E24" s="895"/>
      <c r="F24" s="459"/>
      <c r="G24" s="459"/>
      <c r="H24" s="459"/>
      <c r="I24" s="459"/>
      <c r="J24" s="459"/>
      <c r="K24" s="459"/>
      <c r="L24" s="459"/>
      <c r="M24" s="459"/>
      <c r="N24" s="459"/>
      <c r="O24" s="459"/>
      <c r="P24" s="896"/>
      <c r="Q24" s="896"/>
      <c r="R24" s="896"/>
      <c r="Y24" s="897"/>
      <c r="Z24" s="151"/>
    </row>
    <row r="25" spans="1:83" ht="18" customHeight="1" x14ac:dyDescent="0.25">
      <c r="A25" s="975" t="s">
        <v>813</v>
      </c>
      <c r="B25" s="976"/>
      <c r="C25" s="976"/>
      <c r="D25" s="976"/>
      <c r="E25" s="895"/>
      <c r="F25" s="459"/>
      <c r="G25" s="459"/>
      <c r="H25" s="459"/>
      <c r="I25" s="459"/>
      <c r="J25" s="459"/>
      <c r="K25" s="459"/>
      <c r="L25" s="459"/>
      <c r="M25" s="459"/>
      <c r="N25" s="459"/>
      <c r="O25" s="459"/>
      <c r="P25" s="896"/>
      <c r="Q25" s="896"/>
      <c r="R25" s="896"/>
      <c r="Y25" s="897"/>
      <c r="Z25" s="151"/>
    </row>
    <row r="26" spans="1:83" ht="18" customHeight="1" x14ac:dyDescent="0.25">
      <c r="A26" s="975" t="s">
        <v>814</v>
      </c>
      <c r="B26" s="977"/>
      <c r="C26" s="977"/>
      <c r="D26" s="977"/>
      <c r="E26" s="895"/>
      <c r="F26" s="459"/>
      <c r="G26" s="459"/>
      <c r="H26" s="459"/>
      <c r="I26" s="459"/>
      <c r="J26" s="459"/>
      <c r="K26" s="459"/>
      <c r="L26" s="459"/>
      <c r="M26" s="459"/>
      <c r="N26" s="459"/>
      <c r="O26" s="459"/>
      <c r="P26" s="896"/>
      <c r="Q26" s="896"/>
      <c r="R26" s="896"/>
      <c r="Y26" s="897"/>
      <c r="Z26" s="446"/>
    </row>
    <row r="27" spans="1:83" ht="18" customHeight="1" x14ac:dyDescent="0.25">
      <c r="A27" s="975" t="s">
        <v>815</v>
      </c>
      <c r="B27" s="977"/>
      <c r="C27" s="977"/>
      <c r="D27" s="977"/>
      <c r="E27" s="895"/>
      <c r="F27" s="459"/>
      <c r="G27" s="459"/>
      <c r="H27" s="459"/>
      <c r="I27" s="459"/>
      <c r="J27" s="459"/>
      <c r="K27" s="459"/>
      <c r="L27" s="459"/>
      <c r="M27" s="459"/>
      <c r="N27" s="459"/>
      <c r="O27" s="459"/>
      <c r="P27" s="896"/>
      <c r="Q27" s="896"/>
      <c r="R27" s="896"/>
      <c r="Y27" s="897"/>
      <c r="Z27" s="446"/>
    </row>
    <row r="28" spans="1:83" ht="18" customHeight="1" x14ac:dyDescent="0.25">
      <c r="A28" s="975" t="s">
        <v>816</v>
      </c>
      <c r="B28" s="976"/>
      <c r="C28" s="976"/>
      <c r="D28" s="976"/>
      <c r="E28" s="895"/>
      <c r="F28" s="459"/>
      <c r="G28" s="459"/>
      <c r="H28" s="459"/>
      <c r="I28" s="459"/>
      <c r="J28" s="459"/>
      <c r="K28" s="459"/>
      <c r="L28" s="459"/>
      <c r="M28" s="459"/>
      <c r="N28" s="459"/>
      <c r="O28" s="459"/>
      <c r="P28" s="896"/>
      <c r="Q28" s="896"/>
      <c r="R28" s="896"/>
      <c r="Y28" s="897"/>
      <c r="Z28" s="446"/>
    </row>
    <row r="29" spans="1:83" ht="18" customHeight="1" x14ac:dyDescent="0.25">
      <c r="A29" s="975" t="s">
        <v>817</v>
      </c>
      <c r="B29" s="976"/>
      <c r="C29" s="976"/>
      <c r="D29" s="976"/>
      <c r="E29" s="895"/>
      <c r="F29" s="459"/>
      <c r="G29" s="459"/>
      <c r="H29" s="459"/>
      <c r="I29" s="459"/>
      <c r="J29" s="459"/>
      <c r="K29" s="459"/>
      <c r="L29" s="459"/>
      <c r="M29" s="459"/>
      <c r="N29" s="459"/>
      <c r="O29" s="459"/>
      <c r="P29" s="896"/>
      <c r="Q29" s="896"/>
      <c r="R29" s="896"/>
    </row>
    <row r="30" spans="1:83" ht="18" customHeight="1" x14ac:dyDescent="0.25">
      <c r="A30" s="975" t="s">
        <v>818</v>
      </c>
      <c r="B30" s="976"/>
      <c r="C30" s="976"/>
      <c r="D30" s="976"/>
      <c r="E30" s="895"/>
      <c r="F30" s="459"/>
      <c r="G30" s="459"/>
      <c r="H30" s="459"/>
      <c r="I30" s="459"/>
      <c r="J30" s="459"/>
      <c r="K30" s="459"/>
      <c r="L30" s="459"/>
      <c r="M30" s="459"/>
      <c r="N30" s="459"/>
      <c r="O30" s="459"/>
      <c r="P30" s="896"/>
      <c r="Q30" s="896"/>
      <c r="R30" s="896"/>
    </row>
    <row r="31" spans="1:83" ht="18" customHeight="1" x14ac:dyDescent="0.25">
      <c r="A31" s="975" t="s">
        <v>819</v>
      </c>
      <c r="B31" s="987"/>
      <c r="C31" s="987"/>
      <c r="D31" s="987"/>
      <c r="E31" s="895"/>
      <c r="F31" s="459"/>
      <c r="G31" s="459"/>
      <c r="H31" s="459"/>
      <c r="I31" s="459"/>
      <c r="J31" s="459"/>
      <c r="K31" s="459"/>
      <c r="L31" s="459"/>
      <c r="M31" s="459"/>
      <c r="N31" s="459"/>
      <c r="O31" s="459"/>
      <c r="P31" s="896"/>
      <c r="Q31" s="896"/>
      <c r="R31" s="896"/>
    </row>
    <row r="32" spans="1:83" ht="18" customHeight="1" x14ac:dyDescent="0.25">
      <c r="A32" s="975" t="s">
        <v>820</v>
      </c>
      <c r="B32" s="976"/>
      <c r="C32" s="976"/>
      <c r="D32" s="976"/>
      <c r="E32" s="895"/>
      <c r="F32" s="459"/>
      <c r="G32" s="459"/>
      <c r="H32" s="459"/>
      <c r="I32" s="459"/>
      <c r="J32" s="459"/>
      <c r="K32" s="459"/>
      <c r="L32" s="459"/>
      <c r="M32" s="459"/>
      <c r="N32" s="459"/>
      <c r="O32" s="459"/>
      <c r="P32" s="896"/>
      <c r="Q32" s="896"/>
      <c r="R32" s="896"/>
    </row>
    <row r="33" spans="1:83" ht="18" customHeight="1" x14ac:dyDescent="0.25">
      <c r="A33" s="975" t="s">
        <v>863</v>
      </c>
      <c r="B33" s="976"/>
      <c r="C33" s="976"/>
      <c r="D33" s="976"/>
      <c r="F33" s="459"/>
      <c r="G33" s="459"/>
      <c r="H33" s="459"/>
      <c r="I33" s="459"/>
      <c r="J33" s="459"/>
      <c r="K33" s="459"/>
      <c r="L33" s="459"/>
      <c r="M33" s="459"/>
      <c r="N33" s="459"/>
      <c r="O33" s="459"/>
    </row>
    <row r="34" spans="1:83" ht="18" customHeight="1" x14ac:dyDescent="0.25">
      <c r="A34" s="975"/>
      <c r="B34" s="976"/>
      <c r="C34" s="976"/>
      <c r="D34" s="976"/>
      <c r="F34" s="459"/>
      <c r="G34" s="459"/>
      <c r="H34" s="459"/>
      <c r="I34" s="459"/>
      <c r="J34" s="459"/>
      <c r="K34" s="459"/>
      <c r="L34" s="459"/>
      <c r="M34" s="459"/>
      <c r="N34" s="459"/>
      <c r="O34" s="459"/>
    </row>
    <row r="35" spans="1:83" s="462" customFormat="1" ht="18.75" customHeight="1" x14ac:dyDescent="0.25">
      <c r="A35" s="988" t="s">
        <v>865</v>
      </c>
      <c r="B35" s="989"/>
      <c r="C35" s="989"/>
      <c r="D35" s="989"/>
      <c r="E35" s="892"/>
      <c r="F35" s="893"/>
      <c r="G35" s="893"/>
      <c r="H35" s="893"/>
      <c r="I35" s="893"/>
      <c r="J35" s="893"/>
      <c r="K35" s="893"/>
      <c r="L35" s="893"/>
      <c r="M35" s="893"/>
      <c r="N35" s="894"/>
      <c r="O35" s="893"/>
      <c r="P35" s="893"/>
      <c r="Q35" s="893"/>
      <c r="R35" s="893"/>
      <c r="S35" s="889"/>
      <c r="T35" s="889"/>
      <c r="U35" s="889"/>
      <c r="V35" s="889"/>
      <c r="W35" s="889"/>
      <c r="X35" s="889"/>
      <c r="Y35" s="889"/>
      <c r="Z35" s="889"/>
      <c r="AA35" s="891"/>
      <c r="AB35" s="891"/>
      <c r="AC35" s="891"/>
      <c r="AD35" s="891"/>
      <c r="AE35" s="891"/>
      <c r="AF35" s="891"/>
      <c r="AG35" s="891"/>
      <c r="AH35" s="891"/>
      <c r="AI35" s="891"/>
      <c r="AJ35" s="891"/>
      <c r="AK35" s="891"/>
      <c r="AL35" s="891"/>
      <c r="AM35" s="891"/>
      <c r="AN35" s="891"/>
      <c r="AO35" s="891"/>
      <c r="AP35" s="891"/>
      <c r="AQ35" s="891"/>
      <c r="AR35" s="890"/>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c r="BP35" s="889"/>
      <c r="BQ35" s="889"/>
      <c r="BR35" s="889"/>
      <c r="BS35" s="889"/>
      <c r="BT35" s="889"/>
      <c r="BU35" s="889"/>
      <c r="BV35" s="889"/>
      <c r="BW35" s="889"/>
      <c r="BX35" s="889"/>
      <c r="BY35" s="889"/>
      <c r="BZ35" s="889"/>
      <c r="CA35" s="889"/>
      <c r="CB35" s="889"/>
      <c r="CC35" s="889"/>
      <c r="CD35" s="889"/>
      <c r="CE35" s="889"/>
    </row>
    <row r="36" spans="1:83" s="462" customFormat="1" ht="23.45" customHeight="1" x14ac:dyDescent="0.25">
      <c r="A36" s="2136" t="s">
        <v>864</v>
      </c>
      <c r="B36" s="2136"/>
      <c r="C36" s="2136"/>
      <c r="D36" s="2136"/>
      <c r="E36" s="892"/>
      <c r="F36" s="893"/>
      <c r="G36" s="893"/>
      <c r="H36" s="893"/>
      <c r="I36" s="893"/>
      <c r="J36" s="893"/>
      <c r="K36" s="893"/>
      <c r="L36" s="893"/>
      <c r="M36" s="893"/>
      <c r="N36" s="894"/>
      <c r="O36" s="893"/>
      <c r="P36" s="893"/>
      <c r="Q36" s="893"/>
      <c r="R36" s="893"/>
      <c r="S36" s="889"/>
      <c r="T36" s="889"/>
      <c r="U36" s="889"/>
      <c r="V36" s="889"/>
      <c r="W36" s="889"/>
      <c r="X36" s="889"/>
      <c r="Y36" s="889"/>
      <c r="Z36" s="889"/>
      <c r="AA36" s="891"/>
      <c r="AB36" s="891"/>
      <c r="AC36" s="891"/>
      <c r="AD36" s="891"/>
      <c r="AE36" s="891"/>
      <c r="AF36" s="891"/>
      <c r="AG36" s="891"/>
      <c r="AH36" s="891"/>
      <c r="AI36" s="891"/>
      <c r="AJ36" s="891"/>
      <c r="AK36" s="891"/>
      <c r="AL36" s="891"/>
      <c r="AM36" s="891"/>
      <c r="AN36" s="891"/>
      <c r="AO36" s="891"/>
      <c r="AP36" s="891"/>
      <c r="AQ36" s="891"/>
      <c r="AR36" s="890"/>
      <c r="AS36" s="889"/>
      <c r="AT36" s="889"/>
      <c r="AU36" s="889"/>
      <c r="AV36" s="889"/>
      <c r="AW36" s="889"/>
      <c r="AX36" s="889"/>
      <c r="AY36" s="889"/>
      <c r="AZ36" s="889"/>
      <c r="BA36" s="889"/>
      <c r="BB36" s="889"/>
      <c r="BC36" s="889"/>
      <c r="BD36" s="889"/>
      <c r="BE36" s="889"/>
      <c r="BF36" s="889"/>
      <c r="BG36" s="889"/>
      <c r="BH36" s="889"/>
      <c r="BI36" s="889"/>
      <c r="BJ36" s="889"/>
      <c r="BK36" s="889"/>
      <c r="BL36" s="889"/>
      <c r="BM36" s="889"/>
      <c r="BN36" s="889"/>
      <c r="BO36" s="889"/>
      <c r="BP36" s="889"/>
      <c r="BQ36" s="889"/>
      <c r="BR36" s="889"/>
      <c r="BS36" s="889"/>
      <c r="BT36" s="889"/>
      <c r="BU36" s="889"/>
      <c r="BV36" s="889"/>
      <c r="BW36" s="889"/>
      <c r="BX36" s="889"/>
      <c r="BY36" s="889"/>
      <c r="BZ36" s="889"/>
      <c r="CA36" s="889"/>
      <c r="CB36" s="889"/>
      <c r="CC36" s="889"/>
      <c r="CD36" s="889"/>
      <c r="CE36" s="889"/>
    </row>
    <row r="37" spans="1:83" s="462" customFormat="1" ht="15" x14ac:dyDescent="0.25">
      <c r="A37" s="988" t="s">
        <v>772</v>
      </c>
      <c r="B37" s="990"/>
      <c r="C37" s="990"/>
      <c r="D37" s="990"/>
      <c r="E37" s="892"/>
      <c r="F37" s="893"/>
      <c r="G37" s="893"/>
      <c r="H37" s="893"/>
      <c r="I37" s="893"/>
      <c r="J37" s="893"/>
      <c r="K37" s="893"/>
      <c r="L37" s="893"/>
      <c r="M37" s="893"/>
      <c r="N37" s="894"/>
      <c r="O37" s="893"/>
      <c r="P37" s="893"/>
      <c r="Q37" s="893"/>
      <c r="R37" s="893"/>
      <c r="S37" s="889"/>
      <c r="T37" s="889"/>
      <c r="U37" s="889"/>
      <c r="V37" s="889"/>
      <c r="W37" s="889"/>
      <c r="X37" s="889"/>
      <c r="Y37" s="889"/>
      <c r="Z37" s="889"/>
      <c r="AA37" s="891"/>
      <c r="AB37" s="891"/>
      <c r="AC37" s="891"/>
      <c r="AD37" s="891"/>
      <c r="AE37" s="891"/>
      <c r="AF37" s="891"/>
      <c r="AG37" s="891"/>
      <c r="AH37" s="891"/>
      <c r="AI37" s="891"/>
      <c r="AJ37" s="891"/>
      <c r="AK37" s="891"/>
      <c r="AL37" s="891"/>
      <c r="AM37" s="891"/>
      <c r="AN37" s="891"/>
      <c r="AO37" s="891"/>
      <c r="AP37" s="891"/>
      <c r="AQ37" s="891"/>
      <c r="AR37" s="890"/>
      <c r="AS37" s="889"/>
      <c r="AT37" s="889"/>
      <c r="AU37" s="889"/>
      <c r="AV37" s="889"/>
      <c r="AW37" s="889"/>
      <c r="AX37" s="889"/>
      <c r="AY37" s="889"/>
      <c r="AZ37" s="889"/>
      <c r="BA37" s="889"/>
      <c r="BB37" s="889"/>
      <c r="BC37" s="889"/>
      <c r="BD37" s="889"/>
      <c r="BE37" s="889"/>
      <c r="BF37" s="889"/>
      <c r="BG37" s="889"/>
      <c r="BH37" s="889"/>
      <c r="BI37" s="889"/>
      <c r="BJ37" s="889"/>
      <c r="BK37" s="889"/>
      <c r="BL37" s="889"/>
      <c r="BM37" s="889"/>
      <c r="BN37" s="889"/>
      <c r="BO37" s="889"/>
      <c r="BP37" s="889"/>
      <c r="BQ37" s="889"/>
      <c r="BR37" s="889"/>
      <c r="BS37" s="889"/>
      <c r="BT37" s="889"/>
      <c r="BU37" s="889"/>
      <c r="BV37" s="889"/>
      <c r="BW37" s="889"/>
      <c r="BX37" s="889"/>
      <c r="BY37" s="889"/>
      <c r="BZ37" s="889"/>
      <c r="CA37" s="889"/>
      <c r="CB37" s="889"/>
      <c r="CC37" s="889"/>
      <c r="CD37" s="889"/>
      <c r="CE37" s="889"/>
    </row>
    <row r="38" spans="1:83" s="462" customFormat="1" ht="47.45" customHeight="1" x14ac:dyDescent="0.25">
      <c r="A38" s="2136" t="s">
        <v>867</v>
      </c>
      <c r="B38" s="2136"/>
      <c r="C38" s="2136"/>
      <c r="D38" s="2136"/>
      <c r="E38" s="892"/>
      <c r="F38" s="893"/>
      <c r="G38" s="893"/>
      <c r="H38" s="893"/>
      <c r="I38" s="893"/>
      <c r="J38" s="893"/>
      <c r="K38" s="893"/>
      <c r="L38" s="893"/>
      <c r="M38" s="893"/>
      <c r="N38" s="894"/>
      <c r="O38" s="893"/>
      <c r="P38" s="893"/>
      <c r="Q38" s="893"/>
      <c r="R38" s="893"/>
      <c r="S38" s="889"/>
      <c r="T38" s="889"/>
      <c r="U38" s="889"/>
      <c r="V38" s="889"/>
      <c r="W38" s="889"/>
      <c r="X38" s="889"/>
      <c r="Y38" s="889"/>
      <c r="Z38" s="889"/>
      <c r="AA38" s="891"/>
      <c r="AB38" s="891"/>
      <c r="AC38" s="891"/>
      <c r="AD38" s="891"/>
      <c r="AE38" s="891"/>
      <c r="AF38" s="891"/>
      <c r="AG38" s="891"/>
      <c r="AH38" s="891"/>
      <c r="AI38" s="891"/>
      <c r="AJ38" s="891"/>
      <c r="AK38" s="891"/>
      <c r="AL38" s="891"/>
      <c r="AM38" s="891"/>
      <c r="AN38" s="891"/>
      <c r="AO38" s="891"/>
      <c r="AP38" s="891"/>
      <c r="AQ38" s="891"/>
      <c r="AR38" s="890"/>
      <c r="AS38" s="889"/>
      <c r="AT38" s="889"/>
      <c r="AU38" s="889"/>
      <c r="AV38" s="889"/>
      <c r="AW38" s="889"/>
      <c r="AX38" s="889"/>
      <c r="AY38" s="889"/>
      <c r="AZ38" s="889"/>
      <c r="BA38" s="889"/>
      <c r="BB38" s="889"/>
      <c r="BC38" s="889"/>
      <c r="BD38" s="889"/>
      <c r="BE38" s="889"/>
      <c r="BF38" s="889"/>
      <c r="BG38" s="889"/>
      <c r="BH38" s="889"/>
      <c r="BI38" s="889"/>
      <c r="BJ38" s="889"/>
      <c r="BK38" s="889"/>
      <c r="BL38" s="889"/>
      <c r="BM38" s="889"/>
      <c r="BN38" s="889"/>
      <c r="BO38" s="889"/>
      <c r="BP38" s="889"/>
      <c r="BQ38" s="889"/>
      <c r="BR38" s="889"/>
      <c r="BS38" s="889"/>
      <c r="BT38" s="889"/>
      <c r="BU38" s="889"/>
      <c r="BV38" s="889"/>
      <c r="BW38" s="889"/>
      <c r="BX38" s="889"/>
      <c r="BY38" s="889"/>
      <c r="BZ38" s="889"/>
      <c r="CA38" s="889"/>
      <c r="CB38" s="889"/>
      <c r="CC38" s="889"/>
      <c r="CD38" s="889"/>
      <c r="CE38" s="889"/>
    </row>
    <row r="39" spans="1:83" ht="18.75" customHeight="1" x14ac:dyDescent="0.25">
      <c r="A39" s="991"/>
      <c r="B39" s="990"/>
      <c r="C39" s="990"/>
      <c r="D39" s="990"/>
    </row>
    <row r="40" spans="1:83" ht="18.75" customHeight="1" x14ac:dyDescent="0.25">
      <c r="A40" s="991"/>
      <c r="B40" s="990"/>
      <c r="C40" s="990"/>
      <c r="D40" s="990"/>
    </row>
    <row r="41" spans="1:83" ht="18.75" customHeight="1" x14ac:dyDescent="0.25">
      <c r="A41" s="991"/>
      <c r="B41" s="990"/>
      <c r="C41" s="990"/>
      <c r="D41" s="990"/>
    </row>
    <row r="42" spans="1:83" ht="18.75" customHeight="1" x14ac:dyDescent="0.25">
      <c r="A42" s="991"/>
      <c r="B42" s="990"/>
      <c r="C42" s="990"/>
      <c r="D42" s="990"/>
    </row>
    <row r="43" spans="1:83" ht="18.75" customHeight="1" x14ac:dyDescent="0.25">
      <c r="A43" s="991"/>
      <c r="B43" s="990"/>
      <c r="C43" s="990"/>
      <c r="D43" s="990"/>
    </row>
    <row r="44" spans="1:83" ht="18.75" customHeight="1" x14ac:dyDescent="0.25">
      <c r="A44" s="991"/>
      <c r="B44" s="990"/>
      <c r="C44" s="990"/>
      <c r="D44" s="990"/>
    </row>
    <row r="45" spans="1:83" ht="18.75" customHeight="1" x14ac:dyDescent="0.25">
      <c r="A45" s="991"/>
      <c r="B45" s="990"/>
      <c r="C45" s="990"/>
      <c r="D45" s="990"/>
    </row>
    <row r="46" spans="1:83" ht="18.75" customHeight="1" x14ac:dyDescent="0.25">
      <c r="A46" s="991"/>
      <c r="B46" s="990"/>
      <c r="C46" s="990"/>
      <c r="D46" s="990"/>
    </row>
    <row r="47" spans="1:83" ht="18.75" customHeight="1" x14ac:dyDescent="0.25">
      <c r="A47" s="991"/>
      <c r="B47" s="990"/>
      <c r="C47" s="990"/>
      <c r="D47" s="990"/>
    </row>
    <row r="48" spans="1:83" ht="18.75" customHeight="1" x14ac:dyDescent="0.25">
      <c r="A48" s="991"/>
      <c r="B48" s="990"/>
      <c r="C48" s="990"/>
      <c r="D48" s="990"/>
    </row>
    <row r="49" spans="1:4" ht="18.75" customHeight="1" x14ac:dyDescent="0.25">
      <c r="A49" s="991"/>
      <c r="B49" s="990"/>
      <c r="C49" s="990"/>
      <c r="D49" s="990"/>
    </row>
    <row r="50" spans="1:4" ht="18.75" customHeight="1" x14ac:dyDescent="0.25">
      <c r="A50" s="991"/>
      <c r="B50" s="990"/>
      <c r="C50" s="990"/>
      <c r="D50" s="990"/>
    </row>
    <row r="51" spans="1:4" ht="18.75" customHeight="1" x14ac:dyDescent="0.25">
      <c r="A51" s="991"/>
      <c r="B51" s="990"/>
      <c r="C51" s="990"/>
      <c r="D51" s="990"/>
    </row>
    <row r="52" spans="1:4" ht="18.75" customHeight="1" x14ac:dyDescent="0.25">
      <c r="A52" s="991"/>
      <c r="B52" s="990"/>
      <c r="C52" s="990"/>
      <c r="D52" s="990"/>
    </row>
    <row r="53" spans="1:4" ht="18.75" customHeight="1" x14ac:dyDescent="0.25">
      <c r="A53" s="991"/>
      <c r="B53" s="990"/>
      <c r="C53" s="990"/>
      <c r="D53" s="990"/>
    </row>
    <row r="54" spans="1:4" ht="18.75" customHeight="1" x14ac:dyDescent="0.25">
      <c r="A54" s="991"/>
      <c r="B54" s="990"/>
      <c r="C54" s="990"/>
      <c r="D54" s="990"/>
    </row>
    <row r="55" spans="1:4" ht="18.75" customHeight="1" x14ac:dyDescent="0.25">
      <c r="A55" s="991"/>
      <c r="B55" s="990"/>
      <c r="C55" s="990"/>
      <c r="D55" s="990"/>
    </row>
    <row r="56" spans="1:4" ht="18.75" customHeight="1" x14ac:dyDescent="0.25">
      <c r="A56" s="991"/>
      <c r="B56" s="990"/>
      <c r="C56" s="990"/>
      <c r="D56" s="990"/>
    </row>
    <row r="57" spans="1:4" ht="18.75" customHeight="1" x14ac:dyDescent="0.25">
      <c r="A57" s="991"/>
      <c r="B57" s="990"/>
      <c r="C57" s="990"/>
      <c r="D57" s="990"/>
    </row>
    <row r="58" spans="1:4" ht="18.75" customHeight="1" x14ac:dyDescent="0.25">
      <c r="A58" s="991"/>
      <c r="B58" s="990"/>
      <c r="C58" s="990"/>
      <c r="D58" s="990"/>
    </row>
    <row r="59" spans="1:4" ht="18.75" customHeight="1" x14ac:dyDescent="0.25">
      <c r="A59" s="991"/>
      <c r="B59" s="990"/>
      <c r="C59" s="990"/>
      <c r="D59" s="990"/>
    </row>
    <row r="60" spans="1:4" ht="18.75" customHeight="1" x14ac:dyDescent="0.25">
      <c r="A60" s="991"/>
      <c r="B60" s="990"/>
      <c r="C60" s="990"/>
      <c r="D60" s="990"/>
    </row>
    <row r="61" spans="1:4" ht="18.75" customHeight="1" x14ac:dyDescent="0.25">
      <c r="A61" s="991"/>
      <c r="B61" s="990"/>
      <c r="C61" s="990"/>
      <c r="D61" s="990"/>
    </row>
    <row r="62" spans="1:4" ht="18.75" customHeight="1" x14ac:dyDescent="0.25">
      <c r="A62" s="991"/>
      <c r="B62" s="990"/>
      <c r="C62" s="990"/>
      <c r="D62" s="990"/>
    </row>
    <row r="63" spans="1:4" ht="18.75" customHeight="1" x14ac:dyDescent="0.25">
      <c r="A63" s="991"/>
      <c r="B63" s="990"/>
      <c r="C63" s="990"/>
      <c r="D63" s="990"/>
    </row>
    <row r="64" spans="1:4" ht="18.75" customHeight="1" x14ac:dyDescent="0.25">
      <c r="A64" s="991"/>
      <c r="B64" s="990"/>
      <c r="C64" s="990"/>
      <c r="D64" s="990"/>
    </row>
    <row r="65" spans="1:4" ht="18.75" customHeight="1" x14ac:dyDescent="0.25">
      <c r="A65" s="991"/>
      <c r="B65" s="990"/>
      <c r="C65" s="990"/>
      <c r="D65" s="990"/>
    </row>
    <row r="66" spans="1:4" ht="18.75" customHeight="1" x14ac:dyDescent="0.25">
      <c r="A66" s="991"/>
      <c r="B66" s="990"/>
      <c r="C66" s="990"/>
      <c r="D66" s="990"/>
    </row>
    <row r="67" spans="1:4" ht="18.75" customHeight="1" x14ac:dyDescent="0.25">
      <c r="A67" s="991"/>
      <c r="B67" s="990"/>
      <c r="C67" s="990"/>
      <c r="D67" s="990"/>
    </row>
    <row r="68" spans="1:4" ht="18.75" customHeight="1" x14ac:dyDescent="0.25">
      <c r="A68" s="991"/>
      <c r="B68" s="990"/>
      <c r="C68" s="990"/>
      <c r="D68" s="990"/>
    </row>
    <row r="69" spans="1:4" ht="18.75" customHeight="1" x14ac:dyDescent="0.25">
      <c r="A69" s="991"/>
      <c r="B69" s="990"/>
      <c r="C69" s="990"/>
      <c r="D69" s="990"/>
    </row>
    <row r="70" spans="1:4" ht="18.75" customHeight="1" x14ac:dyDescent="0.25">
      <c r="A70" s="991"/>
      <c r="B70" s="990"/>
      <c r="C70" s="990"/>
      <c r="D70" s="990"/>
    </row>
    <row r="71" spans="1:4" ht="18.75" customHeight="1" x14ac:dyDescent="0.25">
      <c r="A71" s="991"/>
      <c r="B71" s="990"/>
      <c r="C71" s="990"/>
      <c r="D71" s="990"/>
    </row>
    <row r="72" spans="1:4" ht="18.75" customHeight="1" x14ac:dyDescent="0.25">
      <c r="A72" s="991"/>
      <c r="B72" s="990"/>
      <c r="C72" s="990"/>
      <c r="D72" s="990"/>
    </row>
    <row r="73" spans="1:4" ht="18.75" customHeight="1" x14ac:dyDescent="0.25">
      <c r="A73" s="991"/>
      <c r="B73" s="990"/>
      <c r="C73" s="990"/>
      <c r="D73" s="990"/>
    </row>
    <row r="74" spans="1:4" ht="18.75" customHeight="1" x14ac:dyDescent="0.25">
      <c r="A74" s="991"/>
      <c r="B74" s="990"/>
      <c r="C74" s="990"/>
      <c r="D74" s="990"/>
    </row>
    <row r="75" spans="1:4" ht="18.75" customHeight="1" x14ac:dyDescent="0.25">
      <c r="A75" s="991"/>
      <c r="B75" s="990"/>
      <c r="C75" s="990"/>
      <c r="D75" s="990"/>
    </row>
    <row r="76" spans="1:4" ht="18.75" customHeight="1" x14ac:dyDescent="0.25">
      <c r="A76" s="991"/>
      <c r="B76" s="990"/>
      <c r="C76" s="990"/>
      <c r="D76" s="990"/>
    </row>
    <row r="77" spans="1:4" ht="18.75" customHeight="1" x14ac:dyDescent="0.25">
      <c r="A77" s="991"/>
      <c r="B77" s="990"/>
      <c r="C77" s="990"/>
      <c r="D77" s="990"/>
    </row>
    <row r="78" spans="1:4" ht="18.75" customHeight="1" x14ac:dyDescent="0.25">
      <c r="A78" s="991"/>
      <c r="B78" s="990"/>
      <c r="C78" s="990"/>
      <c r="D78" s="990"/>
    </row>
    <row r="79" spans="1:4" ht="18.75" customHeight="1" x14ac:dyDescent="0.25">
      <c r="A79" s="991"/>
      <c r="B79" s="990"/>
      <c r="C79" s="990"/>
      <c r="D79" s="990"/>
    </row>
    <row r="80" spans="1:4" ht="18.75" customHeight="1" x14ac:dyDescent="0.25">
      <c r="A80" s="991"/>
      <c r="B80" s="990"/>
      <c r="C80" s="990"/>
      <c r="D80" s="990"/>
    </row>
    <row r="81" spans="1:4" ht="18.75" customHeight="1" x14ac:dyDescent="0.25">
      <c r="A81" s="991"/>
      <c r="B81" s="990"/>
      <c r="C81" s="990"/>
      <c r="D81" s="990"/>
    </row>
    <row r="82" spans="1:4" ht="18.75" customHeight="1" x14ac:dyDescent="0.25">
      <c r="A82" s="991"/>
      <c r="B82" s="990"/>
      <c r="C82" s="990"/>
      <c r="D82" s="990"/>
    </row>
    <row r="83" spans="1:4" ht="18.75" customHeight="1" x14ac:dyDescent="0.25">
      <c r="A83" s="991"/>
      <c r="B83" s="990"/>
      <c r="C83" s="990"/>
      <c r="D83" s="990"/>
    </row>
    <row r="84" spans="1:4" ht="18.75" customHeight="1" x14ac:dyDescent="0.25">
      <c r="A84" s="991"/>
      <c r="B84" s="990"/>
      <c r="C84" s="990"/>
      <c r="D84" s="990"/>
    </row>
    <row r="85" spans="1:4" ht="18.75" customHeight="1" x14ac:dyDescent="0.25">
      <c r="A85" s="991"/>
      <c r="B85" s="990"/>
      <c r="C85" s="990"/>
      <c r="D85" s="990"/>
    </row>
    <row r="86" spans="1:4" ht="18.75" customHeight="1" x14ac:dyDescent="0.25">
      <c r="A86" s="991"/>
      <c r="B86" s="990"/>
      <c r="C86" s="990"/>
      <c r="D86" s="990"/>
    </row>
    <row r="87" spans="1:4" ht="18.75" customHeight="1" x14ac:dyDescent="0.25">
      <c r="A87" s="991"/>
      <c r="B87" s="990"/>
      <c r="C87" s="990"/>
      <c r="D87" s="990"/>
    </row>
    <row r="88" spans="1:4" ht="18.75" customHeight="1" x14ac:dyDescent="0.25">
      <c r="A88" s="991"/>
      <c r="B88" s="990"/>
      <c r="C88" s="990"/>
      <c r="D88" s="990"/>
    </row>
    <row r="89" spans="1:4" ht="18.75" customHeight="1" x14ac:dyDescent="0.25">
      <c r="A89" s="991"/>
      <c r="B89" s="990"/>
      <c r="C89" s="990"/>
      <c r="D89" s="990"/>
    </row>
    <row r="90" spans="1:4" ht="18.75" customHeight="1" x14ac:dyDescent="0.25">
      <c r="A90" s="991"/>
      <c r="B90" s="990"/>
      <c r="C90" s="990"/>
      <c r="D90" s="990"/>
    </row>
    <row r="91" spans="1:4" ht="18.75" customHeight="1" x14ac:dyDescent="0.25">
      <c r="A91" s="991"/>
      <c r="B91" s="990"/>
      <c r="C91" s="990"/>
      <c r="D91" s="990"/>
    </row>
    <row r="92" spans="1:4" ht="18.75" customHeight="1" x14ac:dyDescent="0.25">
      <c r="A92" s="991"/>
      <c r="B92" s="990"/>
      <c r="C92" s="990"/>
      <c r="D92" s="990"/>
    </row>
    <row r="93" spans="1:4" ht="18.75" customHeight="1" x14ac:dyDescent="0.25">
      <c r="A93" s="991"/>
      <c r="B93" s="990"/>
      <c r="C93" s="990"/>
      <c r="D93" s="990"/>
    </row>
    <row r="94" spans="1:4" ht="18.75" customHeight="1" x14ac:dyDescent="0.25">
      <c r="A94" s="991"/>
      <c r="B94" s="990"/>
      <c r="C94" s="990"/>
      <c r="D94" s="990"/>
    </row>
    <row r="95" spans="1:4" ht="18.75" customHeight="1" x14ac:dyDescent="0.25">
      <c r="A95" s="991"/>
      <c r="B95" s="990"/>
      <c r="C95" s="990"/>
      <c r="D95" s="990"/>
    </row>
    <row r="96" spans="1:4" ht="18.75" customHeight="1" x14ac:dyDescent="0.25">
      <c r="A96" s="991"/>
      <c r="B96" s="990"/>
      <c r="C96" s="990"/>
      <c r="D96" s="990"/>
    </row>
    <row r="97" spans="1:4" ht="18.75" customHeight="1" x14ac:dyDescent="0.25">
      <c r="A97" s="991"/>
      <c r="B97" s="990"/>
      <c r="C97" s="990"/>
      <c r="D97" s="990"/>
    </row>
    <row r="98" spans="1:4" ht="18.75" customHeight="1" x14ac:dyDescent="0.25">
      <c r="A98" s="991"/>
      <c r="B98" s="990"/>
      <c r="C98" s="990"/>
      <c r="D98" s="990"/>
    </row>
    <row r="99" spans="1:4" ht="18.75" customHeight="1" x14ac:dyDescent="0.25">
      <c r="A99" s="991"/>
      <c r="B99" s="990"/>
      <c r="C99" s="990"/>
      <c r="D99" s="990"/>
    </row>
    <row r="100" spans="1:4" ht="18.75" customHeight="1" x14ac:dyDescent="0.25">
      <c r="A100" s="991"/>
      <c r="B100" s="990"/>
      <c r="C100" s="990"/>
      <c r="D100" s="990"/>
    </row>
    <row r="101" spans="1:4" ht="18.75" customHeight="1" x14ac:dyDescent="0.25">
      <c r="A101" s="991"/>
      <c r="B101" s="990"/>
      <c r="C101" s="990"/>
      <c r="D101" s="990"/>
    </row>
    <row r="102" spans="1:4" ht="18.75" customHeight="1" x14ac:dyDescent="0.25">
      <c r="A102" s="991"/>
      <c r="B102" s="990"/>
      <c r="C102" s="990"/>
      <c r="D102" s="990"/>
    </row>
    <row r="103" spans="1:4" ht="18.75" customHeight="1" x14ac:dyDescent="0.25">
      <c r="A103" s="991"/>
      <c r="B103" s="990"/>
      <c r="C103" s="990"/>
      <c r="D103" s="990"/>
    </row>
    <row r="104" spans="1:4" ht="18.75" customHeight="1" x14ac:dyDescent="0.25">
      <c r="A104" s="991"/>
      <c r="B104" s="990"/>
      <c r="C104" s="990"/>
      <c r="D104" s="990"/>
    </row>
    <row r="105" spans="1:4" ht="18.75" customHeight="1" x14ac:dyDescent="0.25">
      <c r="A105" s="991"/>
      <c r="B105" s="990"/>
      <c r="C105" s="990"/>
      <c r="D105" s="990"/>
    </row>
    <row r="106" spans="1:4" ht="18.75" customHeight="1" x14ac:dyDescent="0.25">
      <c r="A106" s="991"/>
      <c r="B106" s="990"/>
      <c r="C106" s="990"/>
      <c r="D106" s="990"/>
    </row>
    <row r="107" spans="1:4" ht="18.75" customHeight="1" x14ac:dyDescent="0.25">
      <c r="A107" s="991"/>
      <c r="B107" s="990"/>
      <c r="C107" s="990"/>
      <c r="D107" s="990"/>
    </row>
    <row r="108" spans="1:4" ht="18.75" customHeight="1" x14ac:dyDescent="0.25">
      <c r="A108" s="991"/>
      <c r="B108" s="990"/>
      <c r="C108" s="990"/>
      <c r="D108" s="990"/>
    </row>
    <row r="109" spans="1:4" ht="18.75" customHeight="1" x14ac:dyDescent="0.25">
      <c r="A109" s="991"/>
      <c r="B109" s="990"/>
      <c r="C109" s="990"/>
      <c r="D109" s="990"/>
    </row>
    <row r="110" spans="1:4" ht="18.75" customHeight="1" x14ac:dyDescent="0.25">
      <c r="A110" s="991"/>
      <c r="B110" s="990"/>
      <c r="C110" s="990"/>
      <c r="D110" s="990"/>
    </row>
    <row r="111" spans="1:4" ht="18.75" customHeight="1" x14ac:dyDescent="0.25">
      <c r="A111" s="991"/>
      <c r="B111" s="990"/>
      <c r="C111" s="990"/>
      <c r="D111" s="990"/>
    </row>
    <row r="112" spans="1:4" ht="18.75" customHeight="1" x14ac:dyDescent="0.25">
      <c r="A112" s="991"/>
      <c r="B112" s="990"/>
      <c r="C112" s="990"/>
      <c r="D112" s="990"/>
    </row>
    <row r="113" spans="1:4" ht="18.75" customHeight="1" x14ac:dyDescent="0.25">
      <c r="A113" s="991"/>
      <c r="B113" s="990"/>
      <c r="C113" s="990"/>
      <c r="D113" s="990"/>
    </row>
    <row r="114" spans="1:4" ht="18.75" customHeight="1" x14ac:dyDescent="0.25">
      <c r="A114" s="991"/>
      <c r="B114" s="990"/>
      <c r="C114" s="990"/>
      <c r="D114" s="990"/>
    </row>
    <row r="115" spans="1:4" ht="18.75" customHeight="1" x14ac:dyDescent="0.25">
      <c r="A115" s="991"/>
      <c r="B115" s="990"/>
      <c r="C115" s="990"/>
      <c r="D115" s="990"/>
    </row>
    <row r="116" spans="1:4" ht="18.75" customHeight="1" x14ac:dyDescent="0.25">
      <c r="A116" s="991"/>
      <c r="B116" s="990"/>
      <c r="C116" s="990"/>
      <c r="D116" s="990"/>
    </row>
    <row r="117" spans="1:4" ht="18.75" customHeight="1" x14ac:dyDescent="0.25">
      <c r="A117" s="991"/>
      <c r="B117" s="990"/>
      <c r="C117" s="990"/>
      <c r="D117" s="990"/>
    </row>
    <row r="118" spans="1:4" ht="18.75" customHeight="1" x14ac:dyDescent="0.25">
      <c r="A118" s="991"/>
      <c r="B118" s="990"/>
      <c r="C118" s="990"/>
      <c r="D118" s="990"/>
    </row>
    <row r="119" spans="1:4" ht="18.75" customHeight="1" x14ac:dyDescent="0.25">
      <c r="A119" s="991"/>
      <c r="B119" s="990"/>
      <c r="C119" s="990"/>
      <c r="D119" s="990"/>
    </row>
    <row r="120" spans="1:4" ht="18.75" customHeight="1" x14ac:dyDescent="0.25">
      <c r="A120" s="991"/>
      <c r="B120" s="990"/>
      <c r="C120" s="990"/>
      <c r="D120" s="990"/>
    </row>
    <row r="121" spans="1:4" ht="18.75" customHeight="1" x14ac:dyDescent="0.25">
      <c r="A121" s="991"/>
      <c r="B121" s="990"/>
      <c r="C121" s="990"/>
      <c r="D121" s="990"/>
    </row>
    <row r="122" spans="1:4" ht="18.75" customHeight="1" x14ac:dyDescent="0.25">
      <c r="A122" s="991"/>
      <c r="B122" s="990"/>
      <c r="C122" s="990"/>
      <c r="D122" s="990"/>
    </row>
    <row r="123" spans="1:4" ht="18.75" customHeight="1" x14ac:dyDescent="0.25">
      <c r="A123" s="991"/>
      <c r="B123" s="990"/>
      <c r="C123" s="990"/>
      <c r="D123" s="990"/>
    </row>
    <row r="124" spans="1:4" ht="18.75" customHeight="1" x14ac:dyDescent="0.25">
      <c r="A124" s="991"/>
      <c r="B124" s="990"/>
      <c r="C124" s="990"/>
      <c r="D124" s="990"/>
    </row>
    <row r="125" spans="1:4" ht="18.75" customHeight="1" x14ac:dyDescent="0.25">
      <c r="A125" s="991"/>
      <c r="B125" s="990"/>
      <c r="C125" s="990"/>
      <c r="D125" s="990"/>
    </row>
    <row r="126" spans="1:4" ht="18.75" customHeight="1" x14ac:dyDescent="0.25">
      <c r="A126" s="991"/>
      <c r="B126" s="990"/>
      <c r="C126" s="990"/>
      <c r="D126" s="990"/>
    </row>
    <row r="127" spans="1:4" ht="18.75" customHeight="1" x14ac:dyDescent="0.25">
      <c r="A127" s="991"/>
      <c r="B127" s="990"/>
      <c r="C127" s="990"/>
      <c r="D127" s="990"/>
    </row>
    <row r="128" spans="1:4" ht="18.75" customHeight="1" x14ac:dyDescent="0.25">
      <c r="A128" s="991"/>
      <c r="B128" s="990"/>
      <c r="C128" s="990"/>
      <c r="D128" s="990"/>
    </row>
    <row r="129" spans="1:4" ht="18.75" customHeight="1" x14ac:dyDescent="0.25">
      <c r="A129" s="991"/>
      <c r="B129" s="990"/>
      <c r="C129" s="990"/>
      <c r="D129" s="990"/>
    </row>
    <row r="130" spans="1:4" ht="18.75" customHeight="1" x14ac:dyDescent="0.25">
      <c r="A130" s="991"/>
      <c r="B130" s="990"/>
      <c r="C130" s="990"/>
      <c r="D130" s="990"/>
    </row>
    <row r="131" spans="1:4" ht="18.75" customHeight="1" x14ac:dyDescent="0.25">
      <c r="A131" s="991"/>
      <c r="B131" s="990"/>
      <c r="C131" s="990"/>
      <c r="D131" s="990"/>
    </row>
    <row r="132" spans="1:4" ht="18.75" customHeight="1" x14ac:dyDescent="0.25">
      <c r="A132" s="991"/>
      <c r="B132" s="990"/>
      <c r="C132" s="990"/>
      <c r="D132" s="990"/>
    </row>
    <row r="133" spans="1:4" ht="18.75" customHeight="1" x14ac:dyDescent="0.25">
      <c r="A133" s="991"/>
      <c r="B133" s="990"/>
      <c r="C133" s="990"/>
      <c r="D133" s="990"/>
    </row>
    <row r="134" spans="1:4" ht="18.75" customHeight="1" x14ac:dyDescent="0.25">
      <c r="A134" s="991"/>
      <c r="B134" s="990"/>
      <c r="C134" s="990"/>
      <c r="D134" s="990"/>
    </row>
    <row r="135" spans="1:4" ht="18.75" customHeight="1" x14ac:dyDescent="0.25">
      <c r="A135" s="991"/>
      <c r="B135" s="990"/>
      <c r="C135" s="990"/>
      <c r="D135" s="990"/>
    </row>
    <row r="136" spans="1:4" ht="18.75" customHeight="1" x14ac:dyDescent="0.25">
      <c r="A136" s="991"/>
      <c r="B136" s="990"/>
      <c r="C136" s="990"/>
      <c r="D136" s="990"/>
    </row>
    <row r="137" spans="1:4" ht="18.75" customHeight="1" x14ac:dyDescent="0.25">
      <c r="A137" s="991"/>
      <c r="B137" s="990"/>
      <c r="C137" s="990"/>
      <c r="D137" s="990"/>
    </row>
    <row r="138" spans="1:4" ht="18.75" customHeight="1" x14ac:dyDescent="0.25">
      <c r="A138" s="991"/>
      <c r="B138" s="990"/>
      <c r="C138" s="990"/>
      <c r="D138" s="990"/>
    </row>
    <row r="139" spans="1:4" ht="18.75" customHeight="1" x14ac:dyDescent="0.25">
      <c r="A139" s="991"/>
      <c r="B139" s="990"/>
      <c r="C139" s="990"/>
      <c r="D139" s="990"/>
    </row>
    <row r="140" spans="1:4" ht="18.75" customHeight="1" x14ac:dyDescent="0.25">
      <c r="A140" s="991"/>
      <c r="B140" s="990"/>
      <c r="C140" s="990"/>
      <c r="D140" s="990"/>
    </row>
    <row r="141" spans="1:4" ht="18.75" customHeight="1" x14ac:dyDescent="0.25">
      <c r="A141" s="991"/>
      <c r="B141" s="990"/>
      <c r="C141" s="990"/>
      <c r="D141" s="990"/>
    </row>
    <row r="142" spans="1:4" ht="18.75" customHeight="1" x14ac:dyDescent="0.25">
      <c r="A142" s="991"/>
      <c r="B142" s="990"/>
      <c r="C142" s="990"/>
      <c r="D142" s="990"/>
    </row>
    <row r="143" spans="1:4" ht="18.75" customHeight="1" x14ac:dyDescent="0.25">
      <c r="A143" s="991"/>
      <c r="B143" s="990"/>
      <c r="C143" s="990"/>
      <c r="D143" s="990"/>
    </row>
    <row r="144" spans="1:4" ht="18.75" customHeight="1" x14ac:dyDescent="0.25">
      <c r="A144" s="991"/>
      <c r="B144" s="990"/>
      <c r="C144" s="990"/>
      <c r="D144" s="990"/>
    </row>
    <row r="145" spans="1:4" ht="18.75" customHeight="1" x14ac:dyDescent="0.25">
      <c r="A145" s="991"/>
      <c r="B145" s="990"/>
      <c r="C145" s="990"/>
      <c r="D145" s="990"/>
    </row>
    <row r="146" spans="1:4" ht="18.75" customHeight="1" x14ac:dyDescent="0.25">
      <c r="A146" s="991"/>
      <c r="B146" s="990"/>
      <c r="C146" s="990"/>
      <c r="D146" s="990"/>
    </row>
    <row r="147" spans="1:4" ht="18.75" customHeight="1" x14ac:dyDescent="0.25">
      <c r="A147" s="991"/>
      <c r="B147" s="990"/>
      <c r="C147" s="990"/>
      <c r="D147" s="990"/>
    </row>
    <row r="148" spans="1:4" ht="18.75" customHeight="1" x14ac:dyDescent="0.25">
      <c r="A148" s="991"/>
      <c r="B148" s="990"/>
      <c r="C148" s="990"/>
      <c r="D148" s="990"/>
    </row>
    <row r="149" spans="1:4" ht="18.75" customHeight="1" x14ac:dyDescent="0.25">
      <c r="A149" s="991"/>
      <c r="B149" s="990"/>
      <c r="C149" s="990"/>
      <c r="D149" s="990"/>
    </row>
    <row r="150" spans="1:4" ht="18.75" customHeight="1" x14ac:dyDescent="0.25">
      <c r="A150" s="991"/>
      <c r="B150" s="990"/>
      <c r="C150" s="990"/>
      <c r="D150" s="990"/>
    </row>
    <row r="151" spans="1:4" ht="18.75" customHeight="1" x14ac:dyDescent="0.25">
      <c r="A151" s="991"/>
      <c r="B151" s="990"/>
      <c r="C151" s="990"/>
      <c r="D151" s="990"/>
    </row>
  </sheetData>
  <sheetProtection sheet="1" objects="1" scenarios="1"/>
  <mergeCells count="13">
    <mergeCell ref="AO10:AQ10"/>
    <mergeCell ref="AC11:AE11"/>
    <mergeCell ref="AF11:AH11"/>
    <mergeCell ref="AC10:AE10"/>
    <mergeCell ref="A38:D38"/>
    <mergeCell ref="A36:D36"/>
    <mergeCell ref="AF10:AH10"/>
    <mergeCell ref="AC9:AE9"/>
    <mergeCell ref="AF9:AH9"/>
    <mergeCell ref="AC6:AE6"/>
    <mergeCell ref="AF6:AH6"/>
    <mergeCell ref="AC7:AE7"/>
    <mergeCell ref="AF7:AH7"/>
  </mergeCells>
  <pageMargins left="0.23622047244094491" right="3.937007874015748E-2" top="0.74803149606299213" bottom="0.15748031496062992" header="0.31496062992125984" footer="0"/>
  <pageSetup paperSize="9" scale="92" orientation="portrait"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L42"/>
  <sheetViews>
    <sheetView showGridLines="0" showRuler="0" zoomScaleNormal="100" workbookViewId="0">
      <selection activeCell="C12" sqref="C12:X12"/>
    </sheetView>
  </sheetViews>
  <sheetFormatPr defaultColWidth="3.5703125" defaultRowHeight="18.75" customHeight="1" x14ac:dyDescent="0.25"/>
  <cols>
    <col min="1" max="9" width="3.5703125" style="21"/>
    <col min="10" max="10" width="3.5703125" style="21" customWidth="1"/>
    <col min="11" max="14" width="3.5703125" style="21"/>
    <col min="15" max="15" width="3.5703125" style="23"/>
    <col min="16" max="26" width="3.5703125" style="21"/>
    <col min="27" max="27" width="3.5703125" style="21" customWidth="1"/>
    <col min="28" max="28" width="5.28515625" style="123" customWidth="1"/>
    <col min="29" max="29" width="14.5703125" style="94" bestFit="1" customWidth="1"/>
    <col min="30" max="30" width="24" style="94" bestFit="1" customWidth="1"/>
    <col min="31" max="31" width="9.5703125" style="94" bestFit="1" customWidth="1"/>
    <col min="32" max="32" width="10.28515625" style="94" bestFit="1" customWidth="1"/>
    <col min="33" max="42" width="3.5703125" style="94"/>
    <col min="43" max="49" width="3.5703125" style="129"/>
    <col min="50" max="50" width="8.5703125" style="129" customWidth="1"/>
    <col min="51" max="51" width="13.5703125" style="129" bestFit="1" customWidth="1"/>
    <col min="52" max="64" width="3.5703125" style="129"/>
    <col min="65" max="16384" width="3.5703125" style="21"/>
  </cols>
  <sheetData>
    <row r="1" spans="1:64" ht="48" customHeight="1" x14ac:dyDescent="0.25">
      <c r="A1" s="2283" t="s">
        <v>868</v>
      </c>
      <c r="B1" s="2283"/>
      <c r="C1" s="2283"/>
      <c r="D1" s="2283"/>
      <c r="E1" s="2283"/>
      <c r="F1" s="2283"/>
      <c r="G1" s="2283"/>
      <c r="H1" s="2283"/>
      <c r="I1" s="2283"/>
      <c r="J1" s="2283"/>
      <c r="K1" s="2283"/>
      <c r="L1" s="2283"/>
      <c r="M1" s="2283"/>
      <c r="N1" s="2283"/>
      <c r="O1" s="2283"/>
      <c r="P1" s="2283"/>
      <c r="Q1" s="2283"/>
      <c r="AC1" s="2082" t="s">
        <v>434</v>
      </c>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row>
    <row r="2" spans="1:64" s="1" customFormat="1" ht="12.75" x14ac:dyDescent="0.25">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67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1"/>
      <c r="BD2" s="131"/>
      <c r="BE2" s="131"/>
      <c r="BF2" s="131"/>
      <c r="BG2" s="131"/>
      <c r="BH2" s="131"/>
      <c r="BI2" s="131"/>
      <c r="BJ2" s="131"/>
      <c r="BK2" s="131"/>
      <c r="BL2" s="131"/>
    </row>
    <row r="3" spans="1:64" s="1" customFormat="1" ht="12.75" x14ac:dyDescent="0.25">
      <c r="A3" s="919"/>
      <c r="B3" s="1724" t="s">
        <v>669</v>
      </c>
      <c r="C3" s="1724"/>
      <c r="D3" s="1724"/>
      <c r="E3" s="1724"/>
      <c r="F3" s="1724"/>
      <c r="G3" s="1724"/>
      <c r="H3" s="1724"/>
      <c r="I3" s="1726" t="str">
        <f>+Profile!BE8</f>
        <v xml:space="preserve"> </v>
      </c>
      <c r="J3" s="1726"/>
      <c r="K3" s="1726"/>
      <c r="L3" s="1726"/>
      <c r="M3" s="1726"/>
      <c r="N3" s="1726"/>
      <c r="O3" s="1726"/>
      <c r="P3" s="1726"/>
      <c r="Q3" s="1726"/>
      <c r="R3" s="1726"/>
      <c r="S3" s="1726"/>
      <c r="T3" s="691"/>
      <c r="U3" s="691"/>
      <c r="V3" s="691"/>
      <c r="W3" s="691"/>
      <c r="X3" s="691"/>
      <c r="Y3" s="691"/>
      <c r="Z3" s="691"/>
      <c r="AA3" s="919"/>
      <c r="AB3" s="675"/>
      <c r="AC3" s="135"/>
      <c r="AD3" s="135"/>
      <c r="AE3" s="135"/>
      <c r="AF3" s="135"/>
      <c r="AG3" s="135"/>
      <c r="AH3" s="135"/>
      <c r="AI3" s="135"/>
      <c r="AJ3" s="135"/>
      <c r="AK3" s="135"/>
      <c r="AL3" s="135"/>
      <c r="AM3" s="135"/>
      <c r="AN3" s="135"/>
      <c r="AO3" s="135"/>
      <c r="AP3" s="135"/>
      <c r="AQ3" s="131"/>
      <c r="AR3" s="131"/>
      <c r="AS3" s="131"/>
      <c r="AT3" s="131"/>
      <c r="AU3" s="131"/>
      <c r="AV3" s="131"/>
      <c r="AW3" s="131"/>
      <c r="AX3" s="131"/>
      <c r="AY3" s="131"/>
      <c r="AZ3" s="131"/>
      <c r="BA3" s="131"/>
      <c r="BB3" s="131"/>
      <c r="BC3" s="131"/>
      <c r="BD3" s="131"/>
      <c r="BE3" s="131"/>
      <c r="BF3" s="131"/>
      <c r="BG3" s="131"/>
      <c r="BH3" s="131"/>
      <c r="BI3" s="131"/>
      <c r="BJ3" s="131"/>
      <c r="BK3" s="131"/>
      <c r="BL3" s="131"/>
    </row>
    <row r="4" spans="1:64" s="27" customFormat="1" ht="14.65" customHeight="1" x14ac:dyDescent="0.25">
      <c r="A4" s="689"/>
      <c r="B4" s="694"/>
      <c r="C4" s="694"/>
      <c r="D4" s="694"/>
      <c r="E4" s="694"/>
      <c r="F4" s="694"/>
      <c r="G4" s="694"/>
      <c r="H4" s="694"/>
      <c r="I4" s="695"/>
      <c r="J4" s="695"/>
      <c r="K4" s="695"/>
      <c r="L4" s="695"/>
      <c r="M4" s="695"/>
      <c r="N4" s="695"/>
      <c r="O4" s="695"/>
      <c r="P4" s="695"/>
      <c r="Q4" s="695"/>
      <c r="R4" s="695"/>
      <c r="S4" s="695"/>
      <c r="T4" s="694"/>
      <c r="U4" s="694"/>
      <c r="V4" s="694"/>
      <c r="W4" s="694"/>
      <c r="X4" s="696"/>
      <c r="Y4" s="697"/>
      <c r="Z4" s="697"/>
      <c r="AA4" s="689"/>
      <c r="AB4" s="677"/>
      <c r="AC4" s="918"/>
      <c r="AD4" s="918"/>
      <c r="AE4" s="918"/>
      <c r="AF4" s="918"/>
      <c r="AG4" s="918"/>
      <c r="AH4" s="918"/>
      <c r="AI4" s="918"/>
      <c r="AJ4" s="918"/>
      <c r="AK4" s="918"/>
      <c r="AL4" s="918"/>
      <c r="AM4" s="918"/>
      <c r="AN4" s="918"/>
      <c r="AO4" s="918"/>
      <c r="AP4" s="918"/>
      <c r="AQ4" s="153"/>
      <c r="AR4" s="153"/>
      <c r="AS4" s="153"/>
      <c r="AT4" s="153"/>
      <c r="AU4" s="153"/>
      <c r="AV4" s="153"/>
      <c r="AW4" s="153"/>
      <c r="AX4" s="153"/>
      <c r="AY4" s="153"/>
      <c r="AZ4" s="153"/>
      <c r="BA4" s="153"/>
      <c r="BB4" s="153"/>
      <c r="BC4" s="153"/>
      <c r="BD4" s="153"/>
      <c r="BE4" s="153"/>
      <c r="BF4" s="153"/>
      <c r="BG4" s="153"/>
      <c r="BH4" s="153"/>
      <c r="BI4" s="153"/>
      <c r="BJ4" s="153"/>
      <c r="BK4" s="153"/>
      <c r="BL4" s="153"/>
    </row>
    <row r="5" spans="1:64" s="131" customFormat="1" ht="12.75" x14ac:dyDescent="0.25">
      <c r="A5" s="919"/>
      <c r="B5" s="1726" t="s">
        <v>443</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919"/>
      <c r="AB5" s="676"/>
      <c r="AC5" s="135"/>
      <c r="AD5" s="135"/>
      <c r="AE5" s="135"/>
      <c r="AF5" s="135"/>
      <c r="AG5" s="135"/>
      <c r="AH5" s="135"/>
      <c r="AI5" s="135"/>
      <c r="AJ5" s="135"/>
      <c r="AK5" s="135"/>
      <c r="AL5" s="135"/>
      <c r="AM5" s="135"/>
      <c r="AN5" s="135"/>
      <c r="AO5" s="135"/>
      <c r="AP5" s="135"/>
    </row>
    <row r="6" spans="1:64" s="129" customFormat="1" ht="18.75" customHeight="1" x14ac:dyDescent="0.25">
      <c r="A6" s="21"/>
      <c r="B6" s="21"/>
      <c r="C6" s="21"/>
      <c r="D6" s="21"/>
      <c r="E6" s="21"/>
      <c r="F6" s="21"/>
      <c r="G6" s="21"/>
      <c r="H6" s="21"/>
      <c r="I6" s="21"/>
      <c r="J6" s="21"/>
      <c r="K6" s="21"/>
      <c r="L6" s="21"/>
      <c r="M6" s="21"/>
      <c r="N6" s="21"/>
      <c r="O6" s="23"/>
      <c r="P6" s="21"/>
      <c r="Q6" s="21"/>
      <c r="R6" s="21"/>
      <c r="S6" s="21"/>
      <c r="T6" s="21"/>
      <c r="U6" s="21"/>
      <c r="V6" s="21"/>
      <c r="W6" s="21"/>
      <c r="X6" s="21"/>
      <c r="Y6" s="21"/>
      <c r="Z6" s="21"/>
      <c r="AA6" s="21"/>
      <c r="AB6" s="215"/>
      <c r="AC6" s="226" t="s">
        <v>444</v>
      </c>
      <c r="AD6" s="227">
        <v>1</v>
      </c>
      <c r="AI6" s="94"/>
      <c r="AJ6" s="94"/>
      <c r="AK6" s="94"/>
      <c r="AL6" s="94"/>
      <c r="AM6" s="94"/>
      <c r="AN6" s="94"/>
      <c r="AO6" s="94"/>
      <c r="AP6" s="94"/>
    </row>
    <row r="7" spans="1:64" s="129" customFormat="1" ht="26.25" customHeight="1" x14ac:dyDescent="0.25">
      <c r="A7" s="210"/>
      <c r="B7" s="210"/>
      <c r="C7" s="2092" t="s">
        <v>684</v>
      </c>
      <c r="D7" s="2092"/>
      <c r="E7" s="2092"/>
      <c r="F7" s="2092"/>
      <c r="G7" s="2092"/>
      <c r="H7" s="2092"/>
      <c r="I7" s="2092"/>
      <c r="J7" s="2092"/>
      <c r="K7" s="2092"/>
      <c r="L7" s="2092"/>
      <c r="M7" s="2092"/>
      <c r="N7" s="2092"/>
      <c r="O7" s="2092"/>
      <c r="P7" s="2092"/>
      <c r="Q7" s="2092"/>
      <c r="R7" s="2092"/>
      <c r="S7" s="2092"/>
      <c r="T7" s="2092"/>
      <c r="U7" s="2092"/>
      <c r="V7" s="2092"/>
      <c r="W7" s="2092"/>
      <c r="X7" s="2092"/>
      <c r="Y7" s="210"/>
      <c r="Z7" s="210"/>
      <c r="AA7" s="210"/>
      <c r="AB7" s="920"/>
      <c r="AC7" s="226" t="s">
        <v>445</v>
      </c>
      <c r="AD7" s="227">
        <v>0</v>
      </c>
      <c r="AE7" s="94"/>
      <c r="AF7" s="94"/>
      <c r="AG7" s="94"/>
      <c r="AH7" s="94"/>
      <c r="AI7" s="94"/>
      <c r="AJ7" s="94"/>
      <c r="AK7" s="94"/>
      <c r="AL7" s="94"/>
      <c r="AM7" s="94"/>
      <c r="AN7" s="94"/>
      <c r="AO7" s="94"/>
      <c r="AP7" s="94"/>
    </row>
    <row r="8" spans="1:64" s="129" customFormat="1" ht="18" customHeight="1" x14ac:dyDescent="0.25">
      <c r="A8" s="210"/>
      <c r="B8" s="216">
        <v>1</v>
      </c>
      <c r="C8" s="2061"/>
      <c r="D8" s="2062"/>
      <c r="E8" s="2062"/>
      <c r="F8" s="2062"/>
      <c r="G8" s="2062"/>
      <c r="H8" s="2062"/>
      <c r="I8" s="2062"/>
      <c r="J8" s="2062"/>
      <c r="K8" s="2062"/>
      <c r="L8" s="2062"/>
      <c r="M8" s="2062"/>
      <c r="N8" s="2062"/>
      <c r="O8" s="2062"/>
      <c r="P8" s="2062"/>
      <c r="Q8" s="2062"/>
      <c r="R8" s="2062"/>
      <c r="S8" s="2062"/>
      <c r="T8" s="2062"/>
      <c r="U8" s="2062"/>
      <c r="V8" s="2062"/>
      <c r="W8" s="2062"/>
      <c r="X8" s="2063"/>
      <c r="Y8" s="210"/>
      <c r="Z8" s="210"/>
      <c r="AA8" s="210"/>
      <c r="AB8" s="920"/>
      <c r="AC8" s="94"/>
      <c r="AD8" s="94"/>
      <c r="AE8" s="94"/>
      <c r="AF8" s="94"/>
      <c r="AG8" s="94"/>
      <c r="AH8" s="94"/>
      <c r="AI8" s="94"/>
      <c r="AJ8" s="94"/>
      <c r="AK8" s="94"/>
      <c r="AL8" s="94"/>
      <c r="AM8" s="94"/>
      <c r="AN8" s="94"/>
      <c r="AO8" s="94"/>
      <c r="AP8" s="94"/>
    </row>
    <row r="9" spans="1:64" s="129" customFormat="1" ht="18" customHeight="1" x14ac:dyDescent="0.25">
      <c r="A9" s="210"/>
      <c r="B9" s="216"/>
      <c r="C9" s="2061"/>
      <c r="D9" s="2062"/>
      <c r="E9" s="2062"/>
      <c r="F9" s="2062"/>
      <c r="G9" s="2062"/>
      <c r="H9" s="2062"/>
      <c r="I9" s="2062"/>
      <c r="J9" s="2062"/>
      <c r="K9" s="2062"/>
      <c r="L9" s="2062"/>
      <c r="M9" s="2062"/>
      <c r="N9" s="2062"/>
      <c r="O9" s="2062"/>
      <c r="P9" s="2062"/>
      <c r="Q9" s="2062"/>
      <c r="R9" s="2062"/>
      <c r="S9" s="2062"/>
      <c r="T9" s="2062"/>
      <c r="U9" s="2062"/>
      <c r="V9" s="2062"/>
      <c r="W9" s="2062"/>
      <c r="X9" s="2063"/>
      <c r="Y9" s="210"/>
      <c r="Z9" s="210"/>
      <c r="AA9" s="210"/>
      <c r="AB9" s="920"/>
      <c r="AC9" s="94"/>
      <c r="AD9" s="94"/>
      <c r="AE9" s="94"/>
      <c r="AF9" s="94"/>
      <c r="AG9" s="94"/>
      <c r="AH9" s="94"/>
      <c r="AI9" s="94"/>
      <c r="AJ9" s="94"/>
      <c r="AK9" s="94"/>
      <c r="AL9" s="94"/>
      <c r="AM9" s="94"/>
      <c r="AN9" s="94"/>
      <c r="AO9" s="94"/>
      <c r="AP9" s="94"/>
    </row>
    <row r="10" spans="1:64" s="129" customFormat="1" ht="18" customHeight="1" x14ac:dyDescent="0.25">
      <c r="A10" s="210"/>
      <c r="B10" s="216"/>
      <c r="C10" s="2061"/>
      <c r="D10" s="2062"/>
      <c r="E10" s="2062"/>
      <c r="F10" s="2062"/>
      <c r="G10" s="2062"/>
      <c r="H10" s="2062"/>
      <c r="I10" s="2062"/>
      <c r="J10" s="2062"/>
      <c r="K10" s="2062"/>
      <c r="L10" s="2062"/>
      <c r="M10" s="2062"/>
      <c r="N10" s="2062"/>
      <c r="O10" s="2062"/>
      <c r="P10" s="2062"/>
      <c r="Q10" s="2062"/>
      <c r="R10" s="2062"/>
      <c r="S10" s="2062"/>
      <c r="T10" s="2062"/>
      <c r="U10" s="2062"/>
      <c r="V10" s="2062"/>
      <c r="W10" s="2062"/>
      <c r="X10" s="2063"/>
      <c r="Y10" s="210"/>
      <c r="Z10" s="210"/>
      <c r="AA10" s="210"/>
      <c r="AB10" s="920"/>
      <c r="AC10" s="94"/>
      <c r="AD10" s="94"/>
      <c r="AE10" s="94"/>
      <c r="AF10" s="94"/>
      <c r="AG10" s="94"/>
      <c r="AH10" s="94"/>
      <c r="AI10" s="94"/>
      <c r="AJ10" s="94"/>
      <c r="AK10" s="94"/>
      <c r="AL10" s="94"/>
      <c r="AM10" s="94"/>
      <c r="AN10" s="94"/>
      <c r="AO10" s="94"/>
      <c r="AP10" s="94"/>
    </row>
    <row r="11" spans="1:64" s="129" customFormat="1" ht="18" customHeight="1" x14ac:dyDescent="0.25">
      <c r="A11" s="210"/>
      <c r="B11" s="216"/>
      <c r="C11" s="2061"/>
      <c r="D11" s="2062"/>
      <c r="E11" s="2062"/>
      <c r="F11" s="2062"/>
      <c r="G11" s="2062"/>
      <c r="H11" s="2062"/>
      <c r="I11" s="2062"/>
      <c r="J11" s="2062"/>
      <c r="K11" s="2062"/>
      <c r="L11" s="2062"/>
      <c r="M11" s="2062"/>
      <c r="N11" s="2062"/>
      <c r="O11" s="2062"/>
      <c r="P11" s="2062"/>
      <c r="Q11" s="2062"/>
      <c r="R11" s="2062"/>
      <c r="S11" s="2062"/>
      <c r="T11" s="2062"/>
      <c r="U11" s="2062"/>
      <c r="V11" s="2062"/>
      <c r="W11" s="2062"/>
      <c r="X11" s="2063"/>
      <c r="Y11" s="210"/>
      <c r="Z11" s="210"/>
      <c r="AA11" s="210"/>
      <c r="AB11" s="920"/>
      <c r="AC11" s="94"/>
      <c r="AD11" s="94"/>
      <c r="AE11" s="94"/>
      <c r="AF11" s="94"/>
      <c r="AG11" s="94"/>
      <c r="AH11" s="94"/>
      <c r="AI11" s="94"/>
      <c r="AJ11" s="94"/>
      <c r="AK11" s="94"/>
      <c r="AL11" s="94"/>
      <c r="AM11" s="94"/>
      <c r="AN11" s="94"/>
      <c r="AO11" s="94"/>
      <c r="AP11" s="94"/>
    </row>
    <row r="12" spans="1:64" s="129" customFormat="1" ht="18" customHeight="1" x14ac:dyDescent="0.25">
      <c r="A12" s="210"/>
      <c r="B12" s="216"/>
      <c r="C12" s="2061"/>
      <c r="D12" s="2062"/>
      <c r="E12" s="2062"/>
      <c r="F12" s="2062"/>
      <c r="G12" s="2062"/>
      <c r="H12" s="2062"/>
      <c r="I12" s="2062"/>
      <c r="J12" s="2062"/>
      <c r="K12" s="2062"/>
      <c r="L12" s="2062"/>
      <c r="M12" s="2062"/>
      <c r="N12" s="2062"/>
      <c r="O12" s="2062"/>
      <c r="P12" s="2062"/>
      <c r="Q12" s="2062"/>
      <c r="R12" s="2062"/>
      <c r="S12" s="2062"/>
      <c r="T12" s="2062"/>
      <c r="U12" s="2062"/>
      <c r="V12" s="2062"/>
      <c r="W12" s="2062"/>
      <c r="X12" s="2063"/>
      <c r="Y12" s="210"/>
      <c r="Z12" s="210"/>
      <c r="AA12" s="210"/>
      <c r="AB12" s="920"/>
      <c r="AC12" s="94"/>
      <c r="AD12" s="94"/>
      <c r="AE12" s="94"/>
      <c r="AF12" s="94"/>
      <c r="AG12" s="94"/>
      <c r="AH12" s="94"/>
      <c r="AI12" s="94"/>
      <c r="AJ12" s="94"/>
      <c r="AK12" s="94"/>
      <c r="AL12" s="94"/>
      <c r="AM12" s="94"/>
      <c r="AN12" s="94"/>
      <c r="AO12" s="94"/>
      <c r="AP12" s="94"/>
    </row>
    <row r="13" spans="1:64" s="129" customFormat="1" ht="18" customHeight="1" x14ac:dyDescent="0.25">
      <c r="A13" s="210"/>
      <c r="B13" s="216"/>
      <c r="C13" s="2061"/>
      <c r="D13" s="2062"/>
      <c r="E13" s="2062"/>
      <c r="F13" s="2062"/>
      <c r="G13" s="2062"/>
      <c r="H13" s="2062"/>
      <c r="I13" s="2062"/>
      <c r="J13" s="2062"/>
      <c r="K13" s="2062"/>
      <c r="L13" s="2062"/>
      <c r="M13" s="2062"/>
      <c r="N13" s="2062"/>
      <c r="O13" s="2062"/>
      <c r="P13" s="2062"/>
      <c r="Q13" s="2062"/>
      <c r="R13" s="2062"/>
      <c r="S13" s="2062"/>
      <c r="T13" s="2062"/>
      <c r="U13" s="2062"/>
      <c r="V13" s="2062"/>
      <c r="W13" s="2062"/>
      <c r="X13" s="2063"/>
      <c r="Y13" s="210"/>
      <c r="Z13" s="210"/>
      <c r="AA13" s="210"/>
      <c r="AB13" s="920"/>
      <c r="AC13" s="94"/>
      <c r="AD13" s="94"/>
      <c r="AE13" s="94"/>
      <c r="AF13" s="94"/>
      <c r="AG13" s="94"/>
      <c r="AH13" s="94"/>
      <c r="AI13" s="94"/>
      <c r="AJ13" s="94"/>
      <c r="AK13" s="94"/>
      <c r="AL13" s="94"/>
      <c r="AM13" s="94"/>
      <c r="AN13" s="94"/>
      <c r="AO13" s="94"/>
      <c r="AP13" s="94"/>
    </row>
    <row r="14" spans="1:64" s="129" customFormat="1" ht="18" customHeight="1" x14ac:dyDescent="0.25">
      <c r="A14" s="210"/>
      <c r="B14" s="216"/>
      <c r="C14" s="2061"/>
      <c r="D14" s="2062"/>
      <c r="E14" s="2062"/>
      <c r="F14" s="2062"/>
      <c r="G14" s="2062"/>
      <c r="H14" s="2062"/>
      <c r="I14" s="2062"/>
      <c r="J14" s="2062"/>
      <c r="K14" s="2062"/>
      <c r="L14" s="2062"/>
      <c r="M14" s="2062"/>
      <c r="N14" s="2062"/>
      <c r="O14" s="2062"/>
      <c r="P14" s="2062"/>
      <c r="Q14" s="2062"/>
      <c r="R14" s="2062"/>
      <c r="S14" s="2062"/>
      <c r="T14" s="2062"/>
      <c r="U14" s="2062"/>
      <c r="V14" s="2062"/>
      <c r="W14" s="2062"/>
      <c r="X14" s="2063"/>
      <c r="Y14" s="210"/>
      <c r="Z14" s="210"/>
      <c r="AA14" s="210"/>
      <c r="AB14" s="920"/>
      <c r="AC14" s="94"/>
      <c r="AD14" s="94"/>
      <c r="AE14" s="94"/>
      <c r="AF14" s="94"/>
      <c r="AG14" s="94"/>
      <c r="AH14" s="94"/>
      <c r="AI14" s="94"/>
      <c r="AJ14" s="94"/>
      <c r="AK14" s="94"/>
      <c r="AL14" s="94"/>
      <c r="AM14" s="94"/>
      <c r="AN14" s="94"/>
      <c r="AO14" s="94"/>
      <c r="AP14" s="94"/>
    </row>
    <row r="15" spans="1:64" s="129" customFormat="1" ht="18" customHeight="1" x14ac:dyDescent="0.25">
      <c r="A15" s="210"/>
      <c r="B15" s="216"/>
      <c r="C15" s="2061"/>
      <c r="D15" s="2062"/>
      <c r="E15" s="2062"/>
      <c r="F15" s="2062"/>
      <c r="G15" s="2062"/>
      <c r="H15" s="2062"/>
      <c r="I15" s="2062"/>
      <c r="J15" s="2062"/>
      <c r="K15" s="2062"/>
      <c r="L15" s="2062"/>
      <c r="M15" s="2062"/>
      <c r="N15" s="2062"/>
      <c r="O15" s="2062"/>
      <c r="P15" s="2062"/>
      <c r="Q15" s="2062"/>
      <c r="R15" s="2062"/>
      <c r="S15" s="2062"/>
      <c r="T15" s="2062"/>
      <c r="U15" s="2062"/>
      <c r="V15" s="2062"/>
      <c r="W15" s="2062"/>
      <c r="X15" s="2063"/>
      <c r="Y15" s="210"/>
      <c r="Z15" s="210"/>
      <c r="AA15" s="210"/>
      <c r="AB15" s="920"/>
      <c r="AC15" s="94"/>
      <c r="AD15" s="94"/>
      <c r="AE15" s="94"/>
      <c r="AF15" s="94"/>
      <c r="AG15" s="94"/>
      <c r="AH15" s="94"/>
      <c r="AI15" s="94"/>
      <c r="AJ15" s="94"/>
      <c r="AK15" s="94"/>
      <c r="AL15" s="94"/>
      <c r="AM15" s="94"/>
      <c r="AN15" s="94"/>
      <c r="AO15" s="94"/>
      <c r="AP15" s="94"/>
    </row>
    <row r="16" spans="1:64" s="129" customFormat="1" ht="18" customHeight="1" x14ac:dyDescent="0.25">
      <c r="A16" s="210"/>
      <c r="B16" s="860"/>
      <c r="C16" s="217"/>
      <c r="D16" s="217"/>
      <c r="E16" s="217"/>
      <c r="F16" s="217"/>
      <c r="G16" s="217"/>
      <c r="H16" s="217"/>
      <c r="I16" s="217"/>
      <c r="J16" s="217"/>
      <c r="K16" s="217"/>
      <c r="L16" s="217"/>
      <c r="M16" s="217"/>
      <c r="N16" s="217"/>
      <c r="O16" s="217"/>
      <c r="P16" s="217"/>
      <c r="Q16" s="217"/>
      <c r="R16" s="217"/>
      <c r="S16" s="217"/>
      <c r="T16" s="217"/>
      <c r="U16" s="217"/>
      <c r="V16" s="217"/>
      <c r="W16" s="217"/>
      <c r="X16" s="217"/>
      <c r="Y16" s="210"/>
      <c r="Z16" s="210"/>
      <c r="AA16" s="210"/>
      <c r="AB16" s="920"/>
      <c r="AC16" s="94"/>
      <c r="AD16" s="94"/>
      <c r="AE16" s="94"/>
      <c r="AF16" s="94"/>
      <c r="AG16" s="94"/>
      <c r="AH16" s="94"/>
      <c r="AI16" s="94"/>
      <c r="AJ16" s="94"/>
      <c r="AK16" s="94"/>
      <c r="AL16" s="94"/>
      <c r="AM16" s="94"/>
      <c r="AN16" s="94"/>
      <c r="AO16" s="94"/>
      <c r="AP16" s="94"/>
    </row>
    <row r="17" spans="1:64" s="123" customFormat="1" ht="26.25" customHeight="1" x14ac:dyDescent="0.25">
      <c r="A17" s="210"/>
      <c r="B17" s="861"/>
      <c r="C17" s="2092" t="s">
        <v>688</v>
      </c>
      <c r="D17" s="2092"/>
      <c r="E17" s="2092"/>
      <c r="F17" s="2092"/>
      <c r="G17" s="2092"/>
      <c r="H17" s="2092"/>
      <c r="I17" s="2092"/>
      <c r="J17" s="2092"/>
      <c r="K17" s="2092"/>
      <c r="L17" s="2092"/>
      <c r="M17" s="2092"/>
      <c r="N17" s="2092"/>
      <c r="O17" s="2092"/>
      <c r="P17" s="2092"/>
      <c r="Q17" s="2092"/>
      <c r="R17" s="2092"/>
      <c r="S17" s="2092"/>
      <c r="T17" s="2092"/>
      <c r="U17" s="2092"/>
      <c r="V17" s="2092"/>
      <c r="W17" s="2092"/>
      <c r="X17" s="2092"/>
      <c r="Y17" s="920"/>
      <c r="Z17" s="210"/>
      <c r="AA17" s="920"/>
      <c r="AB17" s="920"/>
      <c r="AC17" s="94"/>
      <c r="AD17" s="94"/>
      <c r="AE17" s="94"/>
      <c r="AF17" s="94"/>
      <c r="AG17" s="94"/>
      <c r="AH17" s="94"/>
      <c r="AI17" s="94"/>
      <c r="AJ17" s="94"/>
      <c r="AK17" s="94"/>
      <c r="AL17" s="94"/>
      <c r="AM17" s="94"/>
      <c r="AN17" s="94"/>
      <c r="AO17" s="94"/>
      <c r="AP17" s="94"/>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s="123" customFormat="1" ht="18" customHeight="1" x14ac:dyDescent="0.25">
      <c r="A18" s="210"/>
      <c r="B18" s="216"/>
      <c r="C18" s="2061"/>
      <c r="D18" s="2062"/>
      <c r="E18" s="2062"/>
      <c r="F18" s="2062"/>
      <c r="G18" s="2062"/>
      <c r="H18" s="2062"/>
      <c r="I18" s="2062"/>
      <c r="J18" s="2062"/>
      <c r="K18" s="2062"/>
      <c r="L18" s="2062"/>
      <c r="M18" s="2062"/>
      <c r="N18" s="2062"/>
      <c r="O18" s="2062"/>
      <c r="P18" s="2062"/>
      <c r="Q18" s="2062"/>
      <c r="R18" s="2062"/>
      <c r="S18" s="2062"/>
      <c r="T18" s="2062"/>
      <c r="U18" s="2062"/>
      <c r="V18" s="2062"/>
      <c r="W18" s="2062"/>
      <c r="X18" s="2063"/>
      <c r="Y18" s="210"/>
      <c r="Z18" s="210"/>
      <c r="AA18" s="210"/>
      <c r="AB18" s="920"/>
      <c r="AC18" s="94"/>
      <c r="AD18" s="94"/>
      <c r="AE18" s="94"/>
      <c r="AF18" s="94"/>
      <c r="AG18" s="94"/>
      <c r="AH18" s="94"/>
      <c r="AI18" s="94"/>
      <c r="AJ18" s="94"/>
      <c r="AK18" s="94"/>
      <c r="AL18" s="94"/>
      <c r="AM18" s="94"/>
      <c r="AN18" s="94"/>
      <c r="AO18" s="94"/>
      <c r="AP18" s="94"/>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s="123" customFormat="1" ht="18" customHeight="1" x14ac:dyDescent="0.25">
      <c r="A19" s="210"/>
      <c r="B19" s="216"/>
      <c r="C19" s="2061"/>
      <c r="D19" s="2062"/>
      <c r="E19" s="2062"/>
      <c r="F19" s="2062"/>
      <c r="G19" s="2062"/>
      <c r="H19" s="2062"/>
      <c r="I19" s="2062"/>
      <c r="J19" s="2062"/>
      <c r="K19" s="2062"/>
      <c r="L19" s="2062"/>
      <c r="M19" s="2062"/>
      <c r="N19" s="2062"/>
      <c r="O19" s="2062"/>
      <c r="P19" s="2062"/>
      <c r="Q19" s="2062"/>
      <c r="R19" s="2062"/>
      <c r="S19" s="2062"/>
      <c r="T19" s="2062"/>
      <c r="U19" s="2062"/>
      <c r="V19" s="2062"/>
      <c r="W19" s="2062"/>
      <c r="X19" s="2063"/>
      <c r="Y19" s="210"/>
      <c r="Z19" s="210"/>
      <c r="AA19" s="210"/>
      <c r="AB19" s="920"/>
      <c r="AC19" s="94"/>
      <c r="AD19" s="94"/>
      <c r="AE19" s="94"/>
      <c r="AF19" s="94"/>
      <c r="AG19" s="94"/>
      <c r="AH19" s="94"/>
      <c r="AI19" s="94"/>
      <c r="AJ19" s="94"/>
      <c r="AK19" s="94"/>
      <c r="AL19" s="94"/>
      <c r="AM19" s="94"/>
      <c r="AN19" s="94"/>
      <c r="AO19" s="94"/>
      <c r="AP19" s="94"/>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s="123" customFormat="1" ht="18" customHeight="1" x14ac:dyDescent="0.25">
      <c r="A20" s="210"/>
      <c r="B20" s="216"/>
      <c r="C20" s="2061"/>
      <c r="D20" s="2062"/>
      <c r="E20" s="2062"/>
      <c r="F20" s="2062"/>
      <c r="G20" s="2062"/>
      <c r="H20" s="2062"/>
      <c r="I20" s="2062"/>
      <c r="J20" s="2062"/>
      <c r="K20" s="2062"/>
      <c r="L20" s="2062"/>
      <c r="M20" s="2062"/>
      <c r="N20" s="2062"/>
      <c r="O20" s="2062"/>
      <c r="P20" s="2062"/>
      <c r="Q20" s="2062"/>
      <c r="R20" s="2062"/>
      <c r="S20" s="2062"/>
      <c r="T20" s="2062"/>
      <c r="U20" s="2062"/>
      <c r="V20" s="2062"/>
      <c r="W20" s="2062"/>
      <c r="X20" s="2063"/>
      <c r="Y20" s="210"/>
      <c r="Z20" s="210"/>
      <c r="AA20" s="210"/>
      <c r="AB20" s="920"/>
      <c r="AC20" s="94"/>
      <c r="AD20" s="94"/>
      <c r="AE20" s="94"/>
      <c r="AF20" s="94"/>
      <c r="AG20" s="94"/>
      <c r="AH20" s="94"/>
      <c r="AI20" s="94"/>
      <c r="AJ20" s="94"/>
      <c r="AK20" s="94"/>
      <c r="AL20" s="94"/>
      <c r="AM20" s="94"/>
      <c r="AN20" s="94"/>
      <c r="AO20" s="94"/>
      <c r="AP20" s="94"/>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s="123" customFormat="1" ht="18" customHeight="1" x14ac:dyDescent="0.25">
      <c r="A21" s="210"/>
      <c r="B21" s="216"/>
      <c r="C21" s="2061"/>
      <c r="D21" s="2062"/>
      <c r="E21" s="2062"/>
      <c r="F21" s="2062"/>
      <c r="G21" s="2062"/>
      <c r="H21" s="2062"/>
      <c r="I21" s="2062"/>
      <c r="J21" s="2062"/>
      <c r="K21" s="2062"/>
      <c r="L21" s="2062"/>
      <c r="M21" s="2062"/>
      <c r="N21" s="2062"/>
      <c r="O21" s="2062"/>
      <c r="P21" s="2062"/>
      <c r="Q21" s="2062"/>
      <c r="R21" s="2062"/>
      <c r="S21" s="2062"/>
      <c r="T21" s="2062"/>
      <c r="U21" s="2062"/>
      <c r="V21" s="2062"/>
      <c r="W21" s="2062"/>
      <c r="X21" s="2063"/>
      <c r="Y21" s="210"/>
      <c r="Z21" s="210"/>
      <c r="AA21" s="210"/>
      <c r="AB21" s="920"/>
      <c r="AC21" s="94"/>
      <c r="AD21" s="94"/>
      <c r="AE21" s="94"/>
      <c r="AF21" s="94"/>
      <c r="AG21" s="94"/>
      <c r="AH21" s="94"/>
      <c r="AI21" s="94"/>
      <c r="AJ21" s="94"/>
      <c r="AK21" s="94"/>
      <c r="AL21" s="94"/>
      <c r="AM21" s="94"/>
      <c r="AN21" s="94"/>
      <c r="AO21" s="94"/>
      <c r="AP21" s="94"/>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s="123" customFormat="1" ht="18" customHeight="1" x14ac:dyDescent="0.25">
      <c r="A22" s="210"/>
      <c r="B22" s="216"/>
      <c r="C22" s="2061"/>
      <c r="D22" s="2062"/>
      <c r="E22" s="2062"/>
      <c r="F22" s="2062"/>
      <c r="G22" s="2062"/>
      <c r="H22" s="2062"/>
      <c r="I22" s="2062"/>
      <c r="J22" s="2062"/>
      <c r="K22" s="2062"/>
      <c r="L22" s="2062"/>
      <c r="M22" s="2062"/>
      <c r="N22" s="2062"/>
      <c r="O22" s="2062"/>
      <c r="P22" s="2062"/>
      <c r="Q22" s="2062"/>
      <c r="R22" s="2062"/>
      <c r="S22" s="2062"/>
      <c r="T22" s="2062"/>
      <c r="U22" s="2062"/>
      <c r="V22" s="2062"/>
      <c r="W22" s="2062"/>
      <c r="X22" s="2063"/>
      <c r="Y22" s="210"/>
      <c r="Z22" s="210"/>
      <c r="AA22" s="210"/>
      <c r="AB22" s="920"/>
      <c r="AC22" s="94"/>
      <c r="AD22" s="94"/>
      <c r="AE22" s="94"/>
      <c r="AF22" s="94"/>
      <c r="AG22" s="94"/>
      <c r="AH22" s="94"/>
      <c r="AI22" s="94"/>
      <c r="AJ22" s="94"/>
      <c r="AK22" s="94"/>
      <c r="AL22" s="94"/>
      <c r="AM22" s="94"/>
      <c r="AN22" s="94"/>
      <c r="AO22" s="94"/>
      <c r="AP22" s="94"/>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s="123" customFormat="1" ht="18" customHeight="1" x14ac:dyDescent="0.25">
      <c r="A23" s="210"/>
      <c r="B23" s="216"/>
      <c r="C23" s="2061"/>
      <c r="D23" s="2062"/>
      <c r="E23" s="2062"/>
      <c r="F23" s="2062"/>
      <c r="G23" s="2062"/>
      <c r="H23" s="2062"/>
      <c r="I23" s="2062"/>
      <c r="J23" s="2062"/>
      <c r="K23" s="2062"/>
      <c r="L23" s="2062"/>
      <c r="M23" s="2062"/>
      <c r="N23" s="2062"/>
      <c r="O23" s="2062"/>
      <c r="P23" s="2062"/>
      <c r="Q23" s="2062"/>
      <c r="R23" s="2062"/>
      <c r="S23" s="2062"/>
      <c r="T23" s="2062"/>
      <c r="U23" s="2062"/>
      <c r="V23" s="2062"/>
      <c r="W23" s="2062"/>
      <c r="X23" s="2063"/>
      <c r="Y23" s="210"/>
      <c r="Z23" s="210"/>
      <c r="AA23" s="210"/>
      <c r="AB23" s="920"/>
      <c r="AC23" s="94"/>
      <c r="AD23" s="94"/>
      <c r="AE23" s="94"/>
      <c r="AF23" s="94"/>
      <c r="AG23" s="94"/>
      <c r="AH23" s="94"/>
      <c r="AI23" s="94"/>
      <c r="AJ23" s="94"/>
      <c r="AK23" s="94"/>
      <c r="AL23" s="94"/>
      <c r="AM23" s="94"/>
      <c r="AN23" s="94"/>
      <c r="AO23" s="94"/>
      <c r="AP23" s="94"/>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s="123" customFormat="1" ht="18" customHeight="1" x14ac:dyDescent="0.25">
      <c r="A24" s="210"/>
      <c r="B24" s="860"/>
      <c r="C24" s="210"/>
      <c r="D24" s="210"/>
      <c r="E24" s="210"/>
      <c r="F24" s="210"/>
      <c r="G24" s="210"/>
      <c r="H24" s="210"/>
      <c r="I24" s="210"/>
      <c r="J24" s="210"/>
      <c r="K24" s="210"/>
      <c r="L24" s="210"/>
      <c r="M24" s="210"/>
      <c r="N24" s="210"/>
      <c r="O24" s="214"/>
      <c r="P24" s="210"/>
      <c r="Q24" s="210"/>
      <c r="R24" s="210"/>
      <c r="S24" s="210"/>
      <c r="T24" s="210"/>
      <c r="U24" s="210"/>
      <c r="V24" s="210"/>
      <c r="W24" s="210"/>
      <c r="X24" s="210"/>
      <c r="Y24" s="210"/>
      <c r="Z24" s="210"/>
      <c r="AA24" s="210"/>
      <c r="AB24" s="920"/>
      <c r="AC24" s="94"/>
      <c r="AD24" s="94"/>
      <c r="AE24" s="94"/>
      <c r="AF24" s="94"/>
      <c r="AG24" s="94"/>
      <c r="AH24" s="94"/>
      <c r="AI24" s="94"/>
      <c r="AJ24" s="94"/>
      <c r="AK24" s="94"/>
      <c r="AL24" s="94"/>
      <c r="AM24" s="94"/>
      <c r="AN24" s="94"/>
      <c r="AO24" s="94"/>
      <c r="AP24" s="94"/>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s="123" customFormat="1" ht="26.25" customHeight="1" x14ac:dyDescent="0.25">
      <c r="A25" s="210"/>
      <c r="B25" s="861"/>
      <c r="C25" s="2092" t="s">
        <v>869</v>
      </c>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920"/>
      <c r="Z25" s="920"/>
      <c r="AA25" s="210"/>
      <c r="AB25" s="920"/>
      <c r="AC25" s="94"/>
      <c r="AD25" s="94"/>
      <c r="AE25" s="94"/>
      <c r="AF25" s="94"/>
      <c r="AG25" s="94"/>
      <c r="AH25" s="94"/>
      <c r="AI25" s="94"/>
      <c r="AJ25" s="94"/>
      <c r="AK25" s="94"/>
      <c r="AL25" s="94"/>
      <c r="AM25" s="94"/>
      <c r="AN25" s="94"/>
      <c r="AO25" s="94"/>
      <c r="AP25" s="94"/>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s="123" customFormat="1" ht="18" customHeight="1" x14ac:dyDescent="0.25">
      <c r="A26" s="210"/>
      <c r="B26" s="216"/>
      <c r="C26" s="2061"/>
      <c r="D26" s="2062"/>
      <c r="E26" s="2062"/>
      <c r="F26" s="2062"/>
      <c r="G26" s="2062"/>
      <c r="H26" s="2062"/>
      <c r="I26" s="2062"/>
      <c r="J26" s="2062"/>
      <c r="K26" s="2062"/>
      <c r="L26" s="2062"/>
      <c r="M26" s="2062"/>
      <c r="N26" s="2062"/>
      <c r="O26" s="2062"/>
      <c r="P26" s="2062"/>
      <c r="Q26" s="2062"/>
      <c r="R26" s="2062"/>
      <c r="S26" s="2062"/>
      <c r="T26" s="2062"/>
      <c r="U26" s="2062"/>
      <c r="V26" s="2062"/>
      <c r="W26" s="2062"/>
      <c r="X26" s="2063"/>
      <c r="Y26" s="210"/>
      <c r="Z26" s="920"/>
      <c r="AA26" s="210"/>
      <c r="AB26" s="920"/>
      <c r="AC26" s="94"/>
      <c r="AD26" s="94"/>
      <c r="AE26" s="94"/>
      <c r="AF26" s="94"/>
      <c r="AG26" s="94"/>
      <c r="AH26" s="94"/>
      <c r="AI26" s="94"/>
      <c r="AJ26" s="94"/>
      <c r="AK26" s="94"/>
      <c r="AL26" s="94"/>
      <c r="AM26" s="94"/>
      <c r="AN26" s="94"/>
      <c r="AO26" s="94"/>
      <c r="AP26" s="94"/>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s="123" customFormat="1" ht="18" customHeight="1" x14ac:dyDescent="0.25">
      <c r="A27" s="210"/>
      <c r="B27" s="216"/>
      <c r="C27" s="2061"/>
      <c r="D27" s="2062"/>
      <c r="E27" s="2062"/>
      <c r="F27" s="2062"/>
      <c r="G27" s="2062"/>
      <c r="H27" s="2062"/>
      <c r="I27" s="2062"/>
      <c r="J27" s="2062"/>
      <c r="K27" s="2062"/>
      <c r="L27" s="2062"/>
      <c r="M27" s="2062"/>
      <c r="N27" s="2062"/>
      <c r="O27" s="2062"/>
      <c r="P27" s="2062"/>
      <c r="Q27" s="2062"/>
      <c r="R27" s="2062"/>
      <c r="S27" s="2062"/>
      <c r="T27" s="2062"/>
      <c r="U27" s="2062"/>
      <c r="V27" s="2062"/>
      <c r="W27" s="2062"/>
      <c r="X27" s="2063"/>
      <c r="Y27" s="210"/>
      <c r="Z27" s="920"/>
      <c r="AA27" s="210"/>
      <c r="AB27" s="920"/>
      <c r="AC27" s="94"/>
      <c r="AD27" s="94"/>
      <c r="AE27" s="94"/>
      <c r="AF27" s="94"/>
      <c r="AG27" s="94"/>
      <c r="AH27" s="94"/>
      <c r="AI27" s="94"/>
      <c r="AJ27" s="94"/>
      <c r="AK27" s="94"/>
      <c r="AL27" s="94"/>
      <c r="AM27" s="94"/>
      <c r="AN27" s="94"/>
      <c r="AO27" s="94"/>
      <c r="AP27" s="94"/>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s="123" customFormat="1" ht="18" customHeight="1" x14ac:dyDescent="0.25">
      <c r="A28" s="210"/>
      <c r="B28" s="216"/>
      <c r="C28" s="2061"/>
      <c r="D28" s="2062"/>
      <c r="E28" s="2062"/>
      <c r="F28" s="2062"/>
      <c r="G28" s="2062"/>
      <c r="H28" s="2062"/>
      <c r="I28" s="2062"/>
      <c r="J28" s="2062"/>
      <c r="K28" s="2062"/>
      <c r="L28" s="2062"/>
      <c r="M28" s="2062"/>
      <c r="N28" s="2062"/>
      <c r="O28" s="2062"/>
      <c r="P28" s="2062"/>
      <c r="Q28" s="2062"/>
      <c r="R28" s="2062"/>
      <c r="S28" s="2062"/>
      <c r="T28" s="2062"/>
      <c r="U28" s="2062"/>
      <c r="V28" s="2062"/>
      <c r="W28" s="2062"/>
      <c r="X28" s="2063"/>
      <c r="Y28" s="210"/>
      <c r="Z28" s="920"/>
      <c r="AA28" s="210"/>
      <c r="AB28" s="920"/>
      <c r="AC28" s="94"/>
      <c r="AD28" s="94"/>
      <c r="AE28" s="94"/>
      <c r="AF28" s="94"/>
      <c r="AG28" s="94"/>
      <c r="AH28" s="94"/>
      <c r="AI28" s="94"/>
      <c r="AJ28" s="94"/>
      <c r="AK28" s="94"/>
      <c r="AL28" s="94"/>
      <c r="AM28" s="94"/>
      <c r="AN28" s="94"/>
      <c r="AO28" s="94"/>
      <c r="AP28" s="94"/>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s="123" customFormat="1" ht="18" customHeight="1" x14ac:dyDescent="0.25">
      <c r="A29" s="210"/>
      <c r="B29" s="216"/>
      <c r="C29" s="2061"/>
      <c r="D29" s="2062"/>
      <c r="E29" s="2062"/>
      <c r="F29" s="2062"/>
      <c r="G29" s="2062"/>
      <c r="H29" s="2062"/>
      <c r="I29" s="2062"/>
      <c r="J29" s="2062"/>
      <c r="K29" s="2062"/>
      <c r="L29" s="2062"/>
      <c r="M29" s="2062"/>
      <c r="N29" s="2062"/>
      <c r="O29" s="2062"/>
      <c r="P29" s="2062"/>
      <c r="Q29" s="2062"/>
      <c r="R29" s="2062"/>
      <c r="S29" s="2062"/>
      <c r="T29" s="2062"/>
      <c r="U29" s="2062"/>
      <c r="V29" s="2062"/>
      <c r="W29" s="2062"/>
      <c r="X29" s="2063"/>
      <c r="Y29" s="210"/>
      <c r="Z29" s="920"/>
      <c r="AA29" s="210"/>
      <c r="AB29" s="920"/>
      <c r="AC29" s="94"/>
      <c r="AD29" s="94"/>
      <c r="AE29" s="94"/>
      <c r="AF29" s="94"/>
      <c r="AG29" s="94"/>
      <c r="AH29" s="94"/>
      <c r="AI29" s="94"/>
      <c r="AJ29" s="94"/>
      <c r="AK29" s="94"/>
      <c r="AL29" s="94"/>
      <c r="AM29" s="94"/>
      <c r="AN29" s="94"/>
      <c r="AO29" s="94"/>
      <c r="AP29" s="94"/>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s="123" customFormat="1" ht="18" customHeight="1" x14ac:dyDescent="0.25">
      <c r="A30" s="210"/>
      <c r="B30" s="216"/>
      <c r="C30" s="2061"/>
      <c r="D30" s="2062"/>
      <c r="E30" s="2062"/>
      <c r="F30" s="2062"/>
      <c r="G30" s="2062"/>
      <c r="H30" s="2062"/>
      <c r="I30" s="2062"/>
      <c r="J30" s="2062"/>
      <c r="K30" s="2062"/>
      <c r="L30" s="2062"/>
      <c r="M30" s="2062"/>
      <c r="N30" s="2062"/>
      <c r="O30" s="2062"/>
      <c r="P30" s="2062"/>
      <c r="Q30" s="2062"/>
      <c r="R30" s="2062"/>
      <c r="S30" s="2062"/>
      <c r="T30" s="2062"/>
      <c r="U30" s="2062"/>
      <c r="V30" s="2062"/>
      <c r="W30" s="2062"/>
      <c r="X30" s="2063"/>
      <c r="Y30" s="210"/>
      <c r="Z30" s="920"/>
      <c r="AA30" s="210"/>
      <c r="AB30" s="920"/>
      <c r="AC30" s="94"/>
      <c r="AD30" s="94"/>
      <c r="AE30" s="94"/>
      <c r="AF30" s="94"/>
      <c r="AG30" s="94"/>
      <c r="AH30" s="94"/>
      <c r="AI30" s="94"/>
      <c r="AJ30" s="94"/>
      <c r="AK30" s="94"/>
      <c r="AL30" s="94"/>
      <c r="AM30" s="94"/>
      <c r="AN30" s="94"/>
      <c r="AO30" s="94"/>
      <c r="AP30" s="94"/>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s="123" customFormat="1" ht="18" customHeight="1" x14ac:dyDescent="0.25">
      <c r="A31" s="210"/>
      <c r="B31" s="216"/>
      <c r="C31" s="2061"/>
      <c r="D31" s="2062"/>
      <c r="E31" s="2062"/>
      <c r="F31" s="2062"/>
      <c r="G31" s="2062"/>
      <c r="H31" s="2062"/>
      <c r="I31" s="2062"/>
      <c r="J31" s="2062"/>
      <c r="K31" s="2062"/>
      <c r="L31" s="2062"/>
      <c r="M31" s="2062"/>
      <c r="N31" s="2062"/>
      <c r="O31" s="2062"/>
      <c r="P31" s="2062"/>
      <c r="Q31" s="2062"/>
      <c r="R31" s="2062"/>
      <c r="S31" s="2062"/>
      <c r="T31" s="2062"/>
      <c r="U31" s="2062"/>
      <c r="V31" s="2062"/>
      <c r="W31" s="2062"/>
      <c r="X31" s="2063"/>
      <c r="Y31" s="210"/>
      <c r="Z31" s="920"/>
      <c r="AA31" s="210"/>
      <c r="AB31" s="920"/>
      <c r="AC31" s="94"/>
      <c r="AD31" s="94"/>
      <c r="AE31" s="94"/>
      <c r="AF31" s="94"/>
      <c r="AG31" s="94"/>
      <c r="AH31" s="94"/>
      <c r="AI31" s="94"/>
      <c r="AJ31" s="94"/>
      <c r="AK31" s="94"/>
      <c r="AL31" s="94"/>
      <c r="AM31" s="94"/>
      <c r="AN31" s="94"/>
      <c r="AO31" s="94"/>
      <c r="AP31" s="94"/>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8" customHeight="1" x14ac:dyDescent="0.25">
      <c r="A32" s="210"/>
      <c r="B32" s="216"/>
      <c r="C32" s="2061"/>
      <c r="D32" s="2062"/>
      <c r="E32" s="2062"/>
      <c r="F32" s="2062"/>
      <c r="G32" s="2062"/>
      <c r="H32" s="2062"/>
      <c r="I32" s="2062"/>
      <c r="J32" s="2062"/>
      <c r="K32" s="2062"/>
      <c r="L32" s="2062"/>
      <c r="M32" s="2062"/>
      <c r="N32" s="2062"/>
      <c r="O32" s="2062"/>
      <c r="P32" s="2062"/>
      <c r="Q32" s="2062"/>
      <c r="R32" s="2062"/>
      <c r="S32" s="2062"/>
      <c r="T32" s="2062"/>
      <c r="U32" s="2062"/>
      <c r="V32" s="2062"/>
      <c r="W32" s="2062"/>
      <c r="X32" s="2063"/>
      <c r="Y32" s="210"/>
      <c r="Z32" s="920"/>
      <c r="AA32" s="210"/>
      <c r="AB32" s="920"/>
    </row>
    <row r="33" spans="1:28" ht="18" customHeight="1" x14ac:dyDescent="0.25">
      <c r="A33" s="210"/>
      <c r="B33" s="216"/>
      <c r="C33" s="2061"/>
      <c r="D33" s="2062"/>
      <c r="E33" s="2062"/>
      <c r="F33" s="2062"/>
      <c r="G33" s="2062"/>
      <c r="H33" s="2062"/>
      <c r="I33" s="2062"/>
      <c r="J33" s="2062"/>
      <c r="K33" s="2062"/>
      <c r="L33" s="2062"/>
      <c r="M33" s="2062"/>
      <c r="N33" s="2062"/>
      <c r="O33" s="2062"/>
      <c r="P33" s="2062"/>
      <c r="Q33" s="2062"/>
      <c r="R33" s="2062"/>
      <c r="S33" s="2062"/>
      <c r="T33" s="2062"/>
      <c r="U33" s="2062"/>
      <c r="V33" s="2062"/>
      <c r="W33" s="2062"/>
      <c r="X33" s="2063"/>
      <c r="Y33" s="210"/>
      <c r="Z33" s="920"/>
      <c r="AA33" s="210"/>
      <c r="AB33" s="920"/>
    </row>
    <row r="34" spans="1:28" ht="18" customHeight="1" x14ac:dyDescent="0.25">
      <c r="A34" s="210"/>
      <c r="B34" s="216"/>
      <c r="C34" s="2061"/>
      <c r="D34" s="2062"/>
      <c r="E34" s="2062"/>
      <c r="F34" s="2062"/>
      <c r="G34" s="2062"/>
      <c r="H34" s="2062"/>
      <c r="I34" s="2062"/>
      <c r="J34" s="2062"/>
      <c r="K34" s="2062"/>
      <c r="L34" s="2062"/>
      <c r="M34" s="2062"/>
      <c r="N34" s="2062"/>
      <c r="O34" s="2062"/>
      <c r="P34" s="2062"/>
      <c r="Q34" s="2062"/>
      <c r="R34" s="2062"/>
      <c r="S34" s="2062"/>
      <c r="T34" s="2062"/>
      <c r="U34" s="2062"/>
      <c r="V34" s="2062"/>
      <c r="W34" s="2062"/>
      <c r="X34" s="2063"/>
      <c r="Y34" s="210"/>
      <c r="Z34" s="920"/>
      <c r="AA34" s="210"/>
      <c r="AB34" s="920"/>
    </row>
    <row r="35" spans="1:28" ht="18" customHeight="1" x14ac:dyDescent="0.25">
      <c r="A35" s="210"/>
      <c r="B35" s="216"/>
      <c r="C35" s="2061"/>
      <c r="D35" s="2062"/>
      <c r="E35" s="2062"/>
      <c r="F35" s="2062"/>
      <c r="G35" s="2062"/>
      <c r="H35" s="2062"/>
      <c r="I35" s="2062"/>
      <c r="J35" s="2062"/>
      <c r="K35" s="2062"/>
      <c r="L35" s="2062"/>
      <c r="M35" s="2062"/>
      <c r="N35" s="2062"/>
      <c r="O35" s="2062"/>
      <c r="P35" s="2062"/>
      <c r="Q35" s="2062"/>
      <c r="R35" s="2062"/>
      <c r="S35" s="2062"/>
      <c r="T35" s="2062"/>
      <c r="U35" s="2062"/>
      <c r="V35" s="2062"/>
      <c r="W35" s="2062"/>
      <c r="X35" s="2063"/>
      <c r="Y35" s="210"/>
      <c r="Z35" s="920"/>
      <c r="AA35" s="210"/>
      <c r="AB35" s="920"/>
    </row>
    <row r="36" spans="1:28" ht="12" customHeight="1" x14ac:dyDescent="0.25">
      <c r="A36" s="210"/>
      <c r="B36" s="2070" t="s">
        <v>782</v>
      </c>
      <c r="C36" s="2070"/>
      <c r="D36" s="2070"/>
      <c r="E36" s="2070"/>
      <c r="F36" s="2070"/>
      <c r="G36" s="2070"/>
      <c r="H36" s="2070"/>
      <c r="I36" s="2070"/>
      <c r="J36" s="2070"/>
      <c r="K36" s="2070"/>
      <c r="L36" s="2070"/>
      <c r="M36" s="2070"/>
      <c r="N36" s="2070"/>
      <c r="O36" s="2070"/>
      <c r="P36" s="2070"/>
      <c r="Q36" s="2070"/>
      <c r="R36" s="2070"/>
      <c r="S36" s="2070"/>
      <c r="T36" s="2070"/>
      <c r="U36" s="2070"/>
      <c r="V36" s="2070"/>
      <c r="W36" s="2070"/>
      <c r="X36" s="2070"/>
      <c r="Y36" s="2070"/>
      <c r="Z36" s="2070"/>
      <c r="AA36" s="210"/>
      <c r="AB36" s="920"/>
    </row>
    <row r="37" spans="1:28" ht="18.75" customHeight="1" x14ac:dyDescent="0.25">
      <c r="A37" s="210"/>
      <c r="B37" s="210"/>
      <c r="C37" s="210"/>
      <c r="D37" s="210"/>
      <c r="E37" s="210"/>
      <c r="F37" s="210"/>
      <c r="G37" s="210"/>
      <c r="H37" s="210"/>
      <c r="I37" s="210"/>
      <c r="J37" s="210"/>
      <c r="K37" s="210"/>
      <c r="L37" s="210"/>
      <c r="M37" s="210"/>
      <c r="N37" s="210"/>
      <c r="O37" s="214"/>
      <c r="P37" s="210"/>
      <c r="Q37" s="210"/>
      <c r="R37" s="210"/>
      <c r="S37" s="210"/>
      <c r="T37" s="210"/>
      <c r="U37" s="210"/>
      <c r="V37" s="210"/>
      <c r="W37" s="210"/>
      <c r="X37" s="210"/>
      <c r="Y37" s="210"/>
      <c r="Z37" s="210"/>
      <c r="AA37" s="210"/>
      <c r="AB37" s="920"/>
    </row>
    <row r="38" spans="1:28" ht="18.75" customHeight="1" x14ac:dyDescent="0.25">
      <c r="A38" s="210"/>
      <c r="B38" s="210"/>
      <c r="C38" s="210"/>
      <c r="D38" s="210"/>
      <c r="E38" s="210"/>
      <c r="F38" s="210"/>
      <c r="G38" s="210"/>
      <c r="H38" s="210"/>
      <c r="I38" s="210"/>
      <c r="J38" s="210"/>
      <c r="K38" s="210"/>
      <c r="L38" s="210"/>
      <c r="M38" s="210"/>
      <c r="N38" s="210"/>
      <c r="O38" s="214"/>
      <c r="P38" s="210"/>
      <c r="Q38" s="210"/>
      <c r="R38" s="210"/>
      <c r="S38" s="210"/>
      <c r="T38" s="210"/>
      <c r="U38" s="210"/>
      <c r="V38" s="210"/>
      <c r="W38" s="210"/>
      <c r="X38" s="210"/>
      <c r="Y38" s="210"/>
      <c r="Z38" s="210"/>
      <c r="AA38" s="210"/>
      <c r="AB38" s="920"/>
    </row>
    <row r="39" spans="1:28" ht="27" customHeight="1" x14ac:dyDescent="0.25">
      <c r="A39" s="210"/>
      <c r="B39" s="210"/>
      <c r="C39" s="210"/>
      <c r="D39" s="210"/>
      <c r="E39" s="210"/>
      <c r="F39" s="210"/>
      <c r="G39" s="210"/>
      <c r="H39" s="210"/>
      <c r="I39" s="210"/>
      <c r="J39" s="210"/>
      <c r="K39" s="210"/>
      <c r="L39" s="210"/>
      <c r="M39" s="210"/>
      <c r="N39" s="210"/>
      <c r="O39" s="214"/>
      <c r="P39" s="210"/>
      <c r="Q39" s="210"/>
      <c r="R39" s="210"/>
      <c r="S39" s="210"/>
      <c r="T39" s="210"/>
      <c r="U39" s="210"/>
      <c r="V39" s="210"/>
      <c r="W39" s="210"/>
      <c r="X39" s="210"/>
      <c r="Y39" s="210"/>
      <c r="Z39" s="210"/>
      <c r="AA39" s="210"/>
      <c r="AB39" s="920"/>
    </row>
    <row r="40" spans="1:28" ht="18.75" customHeight="1" x14ac:dyDescent="0.25">
      <c r="A40" s="210"/>
      <c r="B40" s="210"/>
      <c r="C40" s="210"/>
      <c r="D40" s="210"/>
      <c r="E40" s="210"/>
      <c r="F40" s="210"/>
      <c r="G40" s="210"/>
      <c r="H40" s="210"/>
      <c r="I40" s="210"/>
      <c r="J40" s="210"/>
      <c r="K40" s="210"/>
      <c r="L40" s="210"/>
      <c r="M40" s="210"/>
      <c r="N40" s="210"/>
      <c r="O40" s="214"/>
      <c r="P40" s="210"/>
      <c r="Q40" s="210"/>
      <c r="R40" s="210"/>
      <c r="S40" s="210"/>
      <c r="T40" s="210"/>
      <c r="U40" s="210"/>
      <c r="V40" s="210"/>
      <c r="W40" s="210"/>
      <c r="X40" s="210"/>
      <c r="Y40" s="210"/>
      <c r="Z40" s="210"/>
      <c r="AA40" s="210"/>
      <c r="AB40" s="920"/>
    </row>
    <row r="41" spans="1:28" ht="18.75" customHeight="1" x14ac:dyDescent="0.25">
      <c r="A41" s="210"/>
      <c r="B41" s="210"/>
      <c r="C41" s="210"/>
      <c r="D41" s="210"/>
      <c r="E41" s="210"/>
      <c r="F41" s="210"/>
      <c r="G41" s="210"/>
      <c r="H41" s="210"/>
      <c r="I41" s="210"/>
      <c r="J41" s="210"/>
      <c r="K41" s="210"/>
      <c r="L41" s="210"/>
      <c r="M41" s="210"/>
      <c r="N41" s="210"/>
      <c r="O41" s="214"/>
      <c r="P41" s="210"/>
      <c r="Q41" s="210"/>
      <c r="R41" s="210"/>
      <c r="S41" s="210"/>
      <c r="T41" s="210"/>
      <c r="U41" s="210"/>
      <c r="V41" s="210"/>
      <c r="W41" s="210"/>
      <c r="X41" s="210"/>
      <c r="Y41" s="210"/>
      <c r="Z41" s="210"/>
      <c r="AA41" s="210"/>
      <c r="AB41" s="920"/>
    </row>
    <row r="42" spans="1:28" ht="18.75" customHeight="1" x14ac:dyDescent="0.25">
      <c r="A42" s="210"/>
      <c r="B42" s="210"/>
      <c r="C42" s="210"/>
      <c r="D42" s="210"/>
      <c r="E42" s="210"/>
      <c r="F42" s="210"/>
      <c r="G42" s="210"/>
      <c r="H42" s="210"/>
      <c r="I42" s="210"/>
      <c r="J42" s="210"/>
      <c r="K42" s="210"/>
      <c r="L42" s="210"/>
      <c r="M42" s="210"/>
      <c r="N42" s="210"/>
      <c r="O42" s="214"/>
      <c r="P42" s="210"/>
      <c r="Q42" s="210"/>
      <c r="R42" s="210"/>
      <c r="S42" s="210"/>
      <c r="T42" s="210"/>
      <c r="U42" s="210"/>
      <c r="V42" s="210"/>
      <c r="W42" s="210"/>
      <c r="X42" s="210"/>
      <c r="Y42" s="210"/>
      <c r="Z42" s="210"/>
      <c r="AA42" s="210"/>
      <c r="AB42" s="920"/>
    </row>
  </sheetData>
  <mergeCells count="34">
    <mergeCell ref="C33:X33"/>
    <mergeCell ref="C34:X34"/>
    <mergeCell ref="C35:X35"/>
    <mergeCell ref="B36:Z36"/>
    <mergeCell ref="C27:X27"/>
    <mergeCell ref="C28:X28"/>
    <mergeCell ref="C29:X29"/>
    <mergeCell ref="C30:X30"/>
    <mergeCell ref="C31:X31"/>
    <mergeCell ref="C32:X32"/>
    <mergeCell ref="C26:X26"/>
    <mergeCell ref="C13:X13"/>
    <mergeCell ref="C14:X14"/>
    <mergeCell ref="C15:X15"/>
    <mergeCell ref="C17:X17"/>
    <mergeCell ref="C18:X18"/>
    <mergeCell ref="C19:X19"/>
    <mergeCell ref="C20:X20"/>
    <mergeCell ref="C21:X21"/>
    <mergeCell ref="C22:X22"/>
    <mergeCell ref="C23:X23"/>
    <mergeCell ref="C25:X25"/>
    <mergeCell ref="C12:X12"/>
    <mergeCell ref="A1:Q1"/>
    <mergeCell ref="AC1:AZ1"/>
    <mergeCell ref="A2:AA2"/>
    <mergeCell ref="B3:H3"/>
    <mergeCell ref="I3:S3"/>
    <mergeCell ref="B5:Z5"/>
    <mergeCell ref="C7:X7"/>
    <mergeCell ref="C8:X8"/>
    <mergeCell ref="C9:X9"/>
    <mergeCell ref="C10:X10"/>
    <mergeCell ref="C11:X11"/>
  </mergeCells>
  <conditionalFormatting sqref="Z16:Z35">
    <cfRule type="iconSet" priority="6">
      <iconSet iconSet="3Symbols2" showValue="0">
        <cfvo type="percent" val="0"/>
        <cfvo type="percent" val="0" gte="0"/>
        <cfvo type="percent" val="1"/>
      </iconSet>
    </cfRule>
  </conditionalFormatting>
  <conditionalFormatting sqref="AC6:AD7">
    <cfRule type="iconSet" priority="7">
      <iconSet iconSet="3Symbols2" showValue="0">
        <cfvo type="percent" val="0"/>
        <cfvo type="percent" val="33"/>
        <cfvo type="percent" val="67"/>
      </iconSet>
    </cfRule>
  </conditionalFormatting>
  <conditionalFormatting sqref="B8:B35">
    <cfRule type="iconSet" priority="5">
      <iconSet iconSet="3Symbols2" showValue="0">
        <cfvo type="percent" val="0"/>
        <cfvo type="percent" val="0" gte="0"/>
        <cfvo type="percent" val="1"/>
      </iconSet>
    </cfRule>
  </conditionalFormatting>
  <conditionalFormatting sqref="C8:X8">
    <cfRule type="expression" dxfId="44" priority="4">
      <formula>$B8=1</formula>
    </cfRule>
  </conditionalFormatting>
  <conditionalFormatting sqref="C9:X15">
    <cfRule type="expression" dxfId="43" priority="3">
      <formula>$B9=1</formula>
    </cfRule>
  </conditionalFormatting>
  <conditionalFormatting sqref="C18:X23">
    <cfRule type="expression" dxfId="42" priority="2">
      <formula>$B18=1</formula>
    </cfRule>
  </conditionalFormatting>
  <conditionalFormatting sqref="C26:X35">
    <cfRule type="expression" dxfId="41" priority="1">
      <formula>$B26=1</formula>
    </cfRule>
  </conditionalFormatting>
  <pageMargins left="0.23622047244094491" right="0.23622047244094491" top="0.74803149606299213" bottom="0.74803149606299213" header="0.31496062992125984" footer="0"/>
  <pageSetup paperSize="9" orientation="portrait" r:id="rId1"/>
  <headerFooter>
    <oddHeader>&amp;R&amp;G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0"/>
  <sheetViews>
    <sheetView workbookViewId="0">
      <selection activeCell="B42" sqref="B42:C42"/>
    </sheetView>
  </sheetViews>
  <sheetFormatPr defaultColWidth="9.140625" defaultRowHeight="15" x14ac:dyDescent="0.25"/>
  <cols>
    <col min="1" max="1" width="3.140625" style="1086" customWidth="1"/>
    <col min="2" max="2" width="8.140625" style="1086" customWidth="1"/>
    <col min="3" max="3" width="17.85546875" style="1086" customWidth="1"/>
    <col min="4" max="4" width="17.42578125" style="1086" customWidth="1"/>
    <col min="5" max="5" width="18.28515625" style="1086" customWidth="1"/>
    <col min="6" max="6" width="22" style="1086" customWidth="1"/>
    <col min="7" max="7" width="17.28515625" style="1087" customWidth="1"/>
    <col min="8" max="9" width="17.42578125" style="1086" customWidth="1"/>
    <col min="10" max="10" width="15.28515625" style="1086" customWidth="1"/>
    <col min="11" max="11" width="18.7109375" style="1086" customWidth="1"/>
    <col min="12" max="12" width="18.28515625" style="1086" customWidth="1"/>
    <col min="13" max="13" width="3.85546875" style="1086" customWidth="1"/>
    <col min="14" max="14" width="26.7109375" style="1086" customWidth="1"/>
    <col min="15" max="15" width="17.85546875" style="1088" customWidth="1"/>
    <col min="16" max="16" width="13.42578125" style="1088" customWidth="1"/>
    <col min="17" max="17" width="12.85546875" style="1087" customWidth="1"/>
    <col min="18" max="16384" width="9.140625" style="1086"/>
  </cols>
  <sheetData>
    <row r="1" spans="2:16" ht="15.75" thickBot="1" x14ac:dyDescent="0.3"/>
    <row r="2" spans="2:16" ht="23.25" customHeight="1" x14ac:dyDescent="0.25">
      <c r="B2" s="2343" t="s">
        <v>1160</v>
      </c>
      <c r="C2" s="2344"/>
      <c r="D2" s="2347" t="s">
        <v>1161</v>
      </c>
      <c r="E2" s="2348"/>
      <c r="F2" s="2348"/>
      <c r="G2" s="2348"/>
      <c r="H2" s="2351" t="s">
        <v>1162</v>
      </c>
      <c r="I2" s="2352"/>
      <c r="J2" s="2352"/>
      <c r="K2" s="2352"/>
      <c r="L2" s="2353"/>
    </row>
    <row r="3" spans="2:16" ht="17.25" customHeight="1" thickBot="1" x14ac:dyDescent="0.3">
      <c r="B3" s="2345"/>
      <c r="C3" s="2346"/>
      <c r="D3" s="2349"/>
      <c r="E3" s="2350"/>
      <c r="F3" s="2350"/>
      <c r="G3" s="2350"/>
      <c r="H3" s="2354"/>
      <c r="I3" s="2355"/>
      <c r="J3" s="2355"/>
      <c r="K3" s="2355"/>
      <c r="L3" s="2356"/>
    </row>
    <row r="4" spans="2:16" ht="20.25" customHeight="1" x14ac:dyDescent="0.25">
      <c r="B4" s="2357" t="s">
        <v>1163</v>
      </c>
      <c r="C4" s="2358"/>
      <c r="D4" s="2361" t="s">
        <v>1164</v>
      </c>
      <c r="E4" s="2361" t="s">
        <v>1165</v>
      </c>
      <c r="F4" s="2363" t="s">
        <v>1166</v>
      </c>
      <c r="G4" s="2364"/>
      <c r="H4" s="2365" t="s">
        <v>1167</v>
      </c>
      <c r="I4" s="2366"/>
      <c r="J4" s="2367" t="s">
        <v>1168</v>
      </c>
      <c r="K4" s="2368"/>
      <c r="L4" s="2369" t="s">
        <v>1169</v>
      </c>
    </row>
    <row r="5" spans="2:16" ht="21.75" customHeight="1" x14ac:dyDescent="0.25">
      <c r="B5" s="2359"/>
      <c r="C5" s="2360"/>
      <c r="D5" s="2362"/>
      <c r="E5" s="2362"/>
      <c r="F5" s="1089" t="s">
        <v>1170</v>
      </c>
      <c r="G5" s="1090" t="s">
        <v>1171</v>
      </c>
      <c r="H5" s="1091" t="s">
        <v>1172</v>
      </c>
      <c r="I5" s="1092" t="s">
        <v>1173</v>
      </c>
      <c r="J5" s="2371" t="s">
        <v>315</v>
      </c>
      <c r="K5" s="2371"/>
      <c r="L5" s="2370"/>
    </row>
    <row r="6" spans="2:16" ht="21" customHeight="1" thickBot="1" x14ac:dyDescent="0.35">
      <c r="B6" s="2372" t="s">
        <v>312</v>
      </c>
      <c r="C6" s="2373"/>
      <c r="D6" s="1093">
        <v>41993</v>
      </c>
      <c r="E6" s="1093">
        <v>42763</v>
      </c>
      <c r="F6" s="1094">
        <f>DATEDIF(D6,E6, "m")</f>
        <v>25</v>
      </c>
      <c r="G6" s="1095">
        <f>DATEDIF(D6,E6, "d")</f>
        <v>770</v>
      </c>
      <c r="H6" s="1096">
        <f>_xlfn.IFS(B6="ANZ",VLOOKUP(F6,E96:G99,3,2),B6="BOQ",VLOOKUP(F6,E101:G103,3,2),B6="Bankwest",VLOOKUP(F6,E105:G106,3,2),B6="Citibank",VLOOKUP(F6,E108:G110,3,2),B6="CBA",VLOOKUP(F6,E112:G114,3,2), B6="Heritage Bank",VLOOKUP(F6,E116:G118,3,2), B6="ING",VLOOKUP(F6,E120:G122,3,2), B6="ME Bank",VLOOKUP(F6,E124:G126,3,2),B6="NAB",VLOOKUP(F6,E128:G130,3,2),B6="Pepper",VLOOKUP(F6,E132:G134,3,2),B6="RESI",VLOOKUP(F6,E136:G138,3,2),B6="Resimac",VLOOKUP(F6,E140:G141,3,2), B6="St. George",VLOOKUP(F6,E143:G145,3,2),B6="Bank of SA",VLOOKUP(F6,E147:G149,3,2),B6="Bank of Sydney",VLOOKUP(F6,E151:G152,3,2),B6="Bank of Melbourne",VLOOKUP(F6,E154:G156,3,2),B6="Suncorp",VLOOKUP(F6,E158:G160,3,2),B6="Vow Macquarie",VLOOKUP(G6,E162:G166,3,2),B6="Westpac",VLOOKUP(F6,E168:G170,3,2),B6="Other","PSVCT")</f>
        <v>0</v>
      </c>
      <c r="I6" s="1097">
        <f>_xlfn.IFS(B6="ANZ",((F9*D95)*H6), B6="BOQ",((F9*D100)*H6), B6="Bankwest",(IF(F6&lt;19,"PSVCT","$0.00")), B6="Citibank",((F9*D107)*H6), B6="CBA",((F9*D111)*H6), B6="Heritage Bank",((F9*D115)*H6), B6="ING",((F9*D119)*H6), B6="ME Bank",((F9*D123)*H6), B6="NAB",((F9*D127)*H6), B6="Pepper",((F9*D131)*H6), B6="RESI",((F9*D135)*H6), B6="Resimac",((F9*D139)*H6), B6="St. George",((F9*D142)*H6), B6="Bank of SA",((F9*D146)*H6), B6="Bank of Sydney",((F9*D150)*H6), B6="Bank of Melbourne",((F9*D153)*H6), B6="Suncorp",((F9*D157)*H6), B6="Vow Macquarie",((F9*D161)*H6), B6="Westpac",((F9*D167)*H6), B6="Other","PSVCT")</f>
        <v>0</v>
      </c>
      <c r="J6" s="2374">
        <f>_xlfn.IFS(J5="ANZ",(F25*D95), J5="BOQ",(F25*D100), J5="Bankwest",(F25*D104), J5="Citibank",(F25*D107), J5="CBA",(F25*D111), J5="Heritage Bank",(F25*D115), J5="ING",(F25*D119), J5="ME Bank",(F25*D123), J5="NAB",(F25*D127), J5="Pepper",(F25*D131), J5="RESI",(F25*D135), J5="Resimac",(F25*D139), J5="St. George",(F25*D142), J5="Bank of SA",(F25*D146), J5="Bank of Sydney",(F25*D150), J5="Bank of Melbourne",(F25*D153), J5="Suncorp",(F25*D157), J5="Vow Macquarie",(F25*D161), J5="Westpac",(F25*D167), J5="Other","PSVCT")</f>
        <v>9100</v>
      </c>
      <c r="K6" s="2375"/>
      <c r="L6" s="1098">
        <f>J6-I6</f>
        <v>9100</v>
      </c>
      <c r="M6" s="1099"/>
    </row>
    <row r="7" spans="2:16" ht="27" customHeight="1" thickBot="1" x14ac:dyDescent="0.3">
      <c r="B7" s="2376" t="s">
        <v>1174</v>
      </c>
      <c r="C7" s="2377"/>
      <c r="D7" s="2377"/>
      <c r="E7" s="2377"/>
      <c r="F7" s="2377"/>
      <c r="G7" s="2377"/>
      <c r="H7" s="2378"/>
      <c r="I7" s="2378"/>
      <c r="J7" s="2378"/>
      <c r="K7" s="2378"/>
      <c r="L7" s="2379"/>
    </row>
    <row r="8" spans="2:16" ht="24" thickBot="1" x14ac:dyDescent="0.4">
      <c r="B8" s="1100" t="s">
        <v>1175</v>
      </c>
      <c r="C8" s="1101"/>
      <c r="D8" s="1101"/>
      <c r="E8" s="1102"/>
      <c r="F8" s="1101"/>
      <c r="G8" s="1103"/>
      <c r="H8" s="1103"/>
      <c r="I8" s="1102"/>
      <c r="J8" s="1102"/>
      <c r="K8" s="1102"/>
      <c r="L8" s="1104"/>
    </row>
    <row r="9" spans="2:16" ht="24.75" thickBot="1" x14ac:dyDescent="0.4">
      <c r="B9" s="1105" t="s">
        <v>1163</v>
      </c>
      <c r="C9" s="2380" t="s">
        <v>312</v>
      </c>
      <c r="D9" s="2381"/>
      <c r="E9" s="1106" t="s">
        <v>1176</v>
      </c>
      <c r="F9" s="1107">
        <f>SUM(D11:D16)</f>
        <v>1400000</v>
      </c>
      <c r="G9" s="1108"/>
      <c r="H9" s="1108"/>
      <c r="I9" s="1101"/>
      <c r="J9" s="1101"/>
      <c r="K9" s="1101"/>
      <c r="L9" s="1109"/>
    </row>
    <row r="10" spans="2:16" ht="15" customHeight="1" thickBot="1" x14ac:dyDescent="0.3">
      <c r="B10" s="1110" t="s">
        <v>1177</v>
      </c>
      <c r="C10" s="1111" t="s">
        <v>1178</v>
      </c>
      <c r="D10" s="1111" t="s">
        <v>889</v>
      </c>
      <c r="E10" s="1110" t="s">
        <v>28</v>
      </c>
      <c r="F10" s="2341" t="s">
        <v>1179</v>
      </c>
      <c r="G10" s="2342"/>
      <c r="H10" s="1112" t="s">
        <v>394</v>
      </c>
      <c r="I10" s="1112" t="s">
        <v>1180</v>
      </c>
      <c r="J10" s="1112" t="s">
        <v>1181</v>
      </c>
      <c r="K10" s="1113" t="s">
        <v>1182</v>
      </c>
      <c r="L10" s="1114" t="s">
        <v>1183</v>
      </c>
      <c r="O10" s="1088" t="s">
        <v>1184</v>
      </c>
    </row>
    <row r="11" spans="2:16" x14ac:dyDescent="0.25">
      <c r="B11" s="1115">
        <v>1</v>
      </c>
      <c r="C11" s="1116">
        <v>464223126</v>
      </c>
      <c r="D11" s="1117">
        <v>800000</v>
      </c>
      <c r="E11" s="1118">
        <v>800000</v>
      </c>
      <c r="F11" s="2323" t="s">
        <v>1185</v>
      </c>
      <c r="G11" s="2323"/>
      <c r="H11" s="1119">
        <v>4.3999999999999997E-2</v>
      </c>
      <c r="I11" s="1119"/>
      <c r="J11" s="1120">
        <v>43454</v>
      </c>
      <c r="K11" s="1120"/>
      <c r="L11" s="1121">
        <v>2000</v>
      </c>
      <c r="N11" s="1122"/>
      <c r="O11" s="1123">
        <f>IF(J11&gt;E6, DATEDIF(E6,J11,"Y"),0)</f>
        <v>1</v>
      </c>
    </row>
    <row r="12" spans="2:16" x14ac:dyDescent="0.25">
      <c r="B12" s="1124">
        <v>2</v>
      </c>
      <c r="C12" s="1125">
        <v>464223127</v>
      </c>
      <c r="D12" s="1126">
        <v>250000</v>
      </c>
      <c r="E12" s="1126">
        <v>250000</v>
      </c>
      <c r="F12" s="2306" t="s">
        <v>1186</v>
      </c>
      <c r="G12" s="2306"/>
      <c r="H12" s="1119"/>
      <c r="I12" s="1127">
        <v>4.3499999999999997E-2</v>
      </c>
      <c r="J12" s="1128"/>
      <c r="K12" s="1128"/>
      <c r="L12" s="1129">
        <v>350</v>
      </c>
      <c r="N12" s="1130"/>
      <c r="O12" s="1123">
        <f>IF(J12&gt;E6, DATEDIF(E6,J12,"Y"),0)</f>
        <v>0</v>
      </c>
    </row>
    <row r="13" spans="2:16" x14ac:dyDescent="0.25">
      <c r="B13" s="1124">
        <v>3</v>
      </c>
      <c r="C13" s="1125">
        <v>464223128</v>
      </c>
      <c r="D13" s="1126">
        <v>350000</v>
      </c>
      <c r="E13" s="1126">
        <v>350000</v>
      </c>
      <c r="F13" s="2306" t="s">
        <v>1187</v>
      </c>
      <c r="G13" s="2306"/>
      <c r="H13" s="1127">
        <v>4.4999999999999998E-2</v>
      </c>
      <c r="I13" s="1127"/>
      <c r="J13" s="1128">
        <v>42786</v>
      </c>
      <c r="K13" s="1128"/>
      <c r="L13" s="1129"/>
      <c r="N13" s="1130"/>
      <c r="O13" s="1123">
        <f>IF(J13&gt;E6, DATEDIF(E6,J13,"Y"),0)</f>
        <v>0</v>
      </c>
      <c r="P13" s="1131"/>
    </row>
    <row r="14" spans="2:16" x14ac:dyDescent="0.25">
      <c r="B14" s="1124">
        <v>4</v>
      </c>
      <c r="C14" s="1125"/>
      <c r="D14" s="1126"/>
      <c r="E14" s="1126"/>
      <c r="F14" s="2306"/>
      <c r="G14" s="2306"/>
      <c r="H14" s="1127"/>
      <c r="I14" s="1127"/>
      <c r="J14" s="1128"/>
      <c r="K14" s="1128"/>
      <c r="L14" s="1129"/>
      <c r="N14" s="1130"/>
      <c r="O14" s="1123">
        <f>IF(J14&gt;E6, DATEDIF(E6,J14,"Y"),0)</f>
        <v>0</v>
      </c>
    </row>
    <row r="15" spans="2:16" x14ac:dyDescent="0.25">
      <c r="B15" s="1124">
        <v>5</v>
      </c>
      <c r="C15" s="1125"/>
      <c r="D15" s="1126"/>
      <c r="E15" s="1126"/>
      <c r="F15" s="2306"/>
      <c r="G15" s="2306"/>
      <c r="H15" s="1127"/>
      <c r="I15" s="1127"/>
      <c r="J15" s="1128"/>
      <c r="K15" s="1128"/>
      <c r="L15" s="1129"/>
      <c r="N15" s="1130"/>
      <c r="O15" s="1123">
        <f t="shared" ref="O15" si="0">IF(J15&gt;E10, DATEDIF(E10,J15,"Y"),0)</f>
        <v>0</v>
      </c>
    </row>
    <row r="16" spans="2:16" ht="15.75" thickBot="1" x14ac:dyDescent="0.3">
      <c r="B16" s="1132">
        <v>6</v>
      </c>
      <c r="C16" s="1133"/>
      <c r="D16" s="1134"/>
      <c r="E16" s="1134"/>
      <c r="F16" s="2324"/>
      <c r="G16" s="2324"/>
      <c r="H16" s="1135"/>
      <c r="I16" s="1135"/>
      <c r="J16" s="1136"/>
      <c r="K16" s="1136"/>
      <c r="L16" s="1137"/>
      <c r="N16" s="1130"/>
      <c r="O16" s="1123">
        <f>IF(J16&gt;E6, DATEDIF(E6,J16,"Y"),0)</f>
        <v>0</v>
      </c>
    </row>
    <row r="17" spans="2:15" ht="15.75" thickBot="1" x14ac:dyDescent="0.3">
      <c r="B17" s="2325" t="s">
        <v>1188</v>
      </c>
      <c r="C17" s="2326"/>
      <c r="D17" s="1138">
        <f>SUM(D11:D16)</f>
        <v>1400000</v>
      </c>
      <c r="E17" s="1138">
        <f>SUM(E11:E16)</f>
        <v>1400000</v>
      </c>
      <c r="F17" s="1139"/>
      <c r="G17" s="1140"/>
      <c r="H17" s="1141" t="s">
        <v>1189</v>
      </c>
      <c r="I17" s="1142">
        <f>MIN(I11:I16)</f>
        <v>4.3499999999999997E-2</v>
      </c>
      <c r="J17" s="1140"/>
      <c r="K17" s="1139" t="s">
        <v>1190</v>
      </c>
      <c r="L17" s="1143">
        <f>SUM(L11:M16)</f>
        <v>2350</v>
      </c>
      <c r="N17" s="1144"/>
      <c r="O17" s="1145"/>
    </row>
    <row r="18" spans="2:15" x14ac:dyDescent="0.25">
      <c r="B18" s="2327" t="s">
        <v>1191</v>
      </c>
      <c r="C18" s="2328"/>
      <c r="D18" s="2328"/>
      <c r="E18" s="2328"/>
      <c r="F18" s="2328"/>
      <c r="G18" s="2328"/>
      <c r="H18" s="2328"/>
      <c r="I18" s="2328"/>
      <c r="J18" s="2328"/>
      <c r="K18" s="2328"/>
      <c r="L18" s="2329"/>
    </row>
    <row r="19" spans="2:15" x14ac:dyDescent="0.25">
      <c r="B19" s="1146" t="s">
        <v>1192</v>
      </c>
      <c r="C19" s="1147" t="s">
        <v>1193</v>
      </c>
      <c r="D19" s="1148" t="s">
        <v>1194</v>
      </c>
      <c r="E19" s="1147" t="s">
        <v>1195</v>
      </c>
      <c r="F19" s="1148" t="s">
        <v>1196</v>
      </c>
      <c r="G19" s="1147" t="s">
        <v>1197</v>
      </c>
      <c r="H19" s="1149"/>
      <c r="I19" s="1150"/>
      <c r="J19" s="1150"/>
      <c r="K19" s="1150"/>
      <c r="L19" s="1151"/>
    </row>
    <row r="20" spans="2:15" x14ac:dyDescent="0.25">
      <c r="B20" s="2330"/>
      <c r="C20" s="2331"/>
      <c r="D20" s="2331"/>
      <c r="E20" s="2331"/>
      <c r="F20" s="2331"/>
      <c r="G20" s="2331"/>
      <c r="H20" s="2331"/>
      <c r="I20" s="2331"/>
      <c r="J20" s="2331"/>
      <c r="K20" s="2331"/>
      <c r="L20" s="2332"/>
    </row>
    <row r="21" spans="2:15" x14ac:dyDescent="0.25">
      <c r="B21" s="2333"/>
      <c r="C21" s="2331"/>
      <c r="D21" s="2331"/>
      <c r="E21" s="2331"/>
      <c r="F21" s="2331"/>
      <c r="G21" s="2331"/>
      <c r="H21" s="2331"/>
      <c r="I21" s="2331"/>
      <c r="J21" s="2331"/>
      <c r="K21" s="2331"/>
      <c r="L21" s="2332"/>
    </row>
    <row r="22" spans="2:15" x14ac:dyDescent="0.25">
      <c r="B22" s="2333"/>
      <c r="C22" s="2331"/>
      <c r="D22" s="2331"/>
      <c r="E22" s="2331"/>
      <c r="F22" s="2331"/>
      <c r="G22" s="2331"/>
      <c r="H22" s="2331"/>
      <c r="I22" s="2331"/>
      <c r="J22" s="2331"/>
      <c r="K22" s="2331"/>
      <c r="L22" s="2332"/>
    </row>
    <row r="23" spans="2:15" ht="15.75" thickBot="1" x14ac:dyDescent="0.3">
      <c r="B23" s="2334"/>
      <c r="C23" s="2335"/>
      <c r="D23" s="2335"/>
      <c r="E23" s="2335"/>
      <c r="F23" s="2335"/>
      <c r="G23" s="2335"/>
      <c r="H23" s="2335"/>
      <c r="I23" s="2331"/>
      <c r="J23" s="2331"/>
      <c r="K23" s="2331"/>
      <c r="L23" s="2332"/>
    </row>
    <row r="24" spans="2:15" ht="36.75" customHeight="1" thickBot="1" x14ac:dyDescent="0.3">
      <c r="B24" s="2336" t="s">
        <v>1198</v>
      </c>
      <c r="C24" s="2337"/>
      <c r="D24" s="2337"/>
      <c r="E24" s="2337"/>
      <c r="F24" s="2337"/>
      <c r="G24" s="2337"/>
      <c r="H24" s="2337"/>
      <c r="I24" s="2337"/>
      <c r="J24" s="2338"/>
      <c r="K24" s="2339" t="s">
        <v>1199</v>
      </c>
      <c r="L24" s="2340"/>
    </row>
    <row r="25" spans="2:15" ht="34.5" thickBot="1" x14ac:dyDescent="0.3">
      <c r="B25" s="1152" t="s">
        <v>1200</v>
      </c>
      <c r="C25" s="2315" t="s">
        <v>315</v>
      </c>
      <c r="D25" s="2316"/>
      <c r="E25" s="1153" t="s">
        <v>1201</v>
      </c>
      <c r="F25" s="1154">
        <f>SUM(C27:C32)</f>
        <v>1400000</v>
      </c>
      <c r="G25" s="1155" t="s">
        <v>1202</v>
      </c>
      <c r="H25" s="1156">
        <v>3.9E-2</v>
      </c>
      <c r="I25" s="2317" t="s">
        <v>1203</v>
      </c>
      <c r="J25" s="2318"/>
      <c r="K25" s="1157" t="s">
        <v>1204</v>
      </c>
      <c r="L25" s="1158">
        <v>4</v>
      </c>
    </row>
    <row r="26" spans="2:15" ht="24" customHeight="1" thickBot="1" x14ac:dyDescent="0.3">
      <c r="B26" s="1159" t="s">
        <v>1177</v>
      </c>
      <c r="C26" s="1160" t="s">
        <v>1205</v>
      </c>
      <c r="D26" s="2321" t="s">
        <v>1206</v>
      </c>
      <c r="E26" s="2322"/>
      <c r="F26" s="1161" t="s">
        <v>1207</v>
      </c>
      <c r="G26" s="1162" t="s">
        <v>1208</v>
      </c>
      <c r="H26" s="1163" t="s">
        <v>987</v>
      </c>
      <c r="I26" s="2319"/>
      <c r="J26" s="2320"/>
      <c r="K26" s="1164" t="s">
        <v>1209</v>
      </c>
      <c r="L26" s="1165" t="s">
        <v>1210</v>
      </c>
    </row>
    <row r="27" spans="2:15" ht="15.75" customHeight="1" x14ac:dyDescent="0.25">
      <c r="B27" s="1166">
        <v>1</v>
      </c>
      <c r="C27" s="1167">
        <v>800000</v>
      </c>
      <c r="D27" s="2312" t="s">
        <v>1211</v>
      </c>
      <c r="E27" s="2312"/>
      <c r="F27" s="1167">
        <v>395</v>
      </c>
      <c r="G27" s="1168">
        <v>3</v>
      </c>
      <c r="H27" s="1169">
        <v>4.2500000000000003E-2</v>
      </c>
      <c r="I27" s="2313">
        <f>(C27*(H11+I11))-(C27*H27 )</f>
        <v>1200</v>
      </c>
      <c r="J27" s="2314"/>
      <c r="K27" s="1170">
        <f>IF(O11&gt;0,((I27*O11)+(((C27*I17)-(C27*H25))*(L25-O11))),(I27*L25))</f>
        <v>12000</v>
      </c>
      <c r="L27" s="1171">
        <f>IF(G27&gt;0,((I27*G27)+(((C27*I17)-(C27*H25))*(L25-G27))),(I27*L25))</f>
        <v>7200</v>
      </c>
      <c r="O27" s="1088">
        <f>IF(G27&gt;0,((I27*G27)+(((C27*I17)-(C27*H25))*(5-G27))),(I27*5))</f>
        <v>10800</v>
      </c>
    </row>
    <row r="28" spans="2:15" x14ac:dyDescent="0.25">
      <c r="B28" s="1124">
        <v>2</v>
      </c>
      <c r="C28" s="1126">
        <v>250000</v>
      </c>
      <c r="D28" s="2306" t="s">
        <v>1212</v>
      </c>
      <c r="E28" s="2306"/>
      <c r="F28" s="1126">
        <v>0</v>
      </c>
      <c r="G28" s="1172">
        <v>0</v>
      </c>
      <c r="H28" s="1173">
        <v>3.8899999999999997E-2</v>
      </c>
      <c r="I28" s="2307">
        <f>(C28*(H12+I12))-(C28*H28 )</f>
        <v>1150</v>
      </c>
      <c r="J28" s="2308"/>
      <c r="K28" s="1174">
        <f>IF(O12&gt;0,((I28*O12)+(((C28*I17)-(C28*H25))*(L25-O12))),(I28*L25))</f>
        <v>4600</v>
      </c>
      <c r="L28" s="1175">
        <f>IF(G28&gt;0,((I28*G28)+(((C28*I17)-(C28*H25))*(L25-G28))),(I28*L25))</f>
        <v>4600</v>
      </c>
    </row>
    <row r="29" spans="2:15" x14ac:dyDescent="0.25">
      <c r="B29" s="1124">
        <v>3</v>
      </c>
      <c r="C29" s="1126">
        <v>350000</v>
      </c>
      <c r="D29" s="2306" t="s">
        <v>1213</v>
      </c>
      <c r="E29" s="2306"/>
      <c r="F29" s="1126">
        <v>0</v>
      </c>
      <c r="G29" s="1172">
        <v>2</v>
      </c>
      <c r="H29" s="1173">
        <v>0.04</v>
      </c>
      <c r="I29" s="2307">
        <f>(C29*(H13+I13))-(C29*H29 )</f>
        <v>1750</v>
      </c>
      <c r="J29" s="2308"/>
      <c r="K29" s="1174">
        <f>IF(O13&gt;0,((I29*O13)+(((C29*I17)-(C29*H25))*(L25-O13))),(I29*L25))</f>
        <v>7000</v>
      </c>
      <c r="L29" s="1175">
        <f>IF(G29&gt;0,((I29*G29)+(((C29*I17)-(C29*H25))*(L25-G29))),(I29*L25))</f>
        <v>6649.9999999999964</v>
      </c>
    </row>
    <row r="30" spans="2:15" x14ac:dyDescent="0.25">
      <c r="B30" s="1124">
        <v>4</v>
      </c>
      <c r="C30" s="1126"/>
      <c r="D30" s="2306"/>
      <c r="E30" s="2306"/>
      <c r="F30" s="1126">
        <v>0</v>
      </c>
      <c r="G30" s="1172"/>
      <c r="H30" s="1173"/>
      <c r="I30" s="2307">
        <f>(C30*I14 )-(C30*H30 )</f>
        <v>0</v>
      </c>
      <c r="J30" s="2308"/>
      <c r="K30" s="1174">
        <f>IF(O14&gt;0,((I30*O14)+(((C30*I17)-(C30*H25))*(L25-O14))),(I30*L25))</f>
        <v>0</v>
      </c>
      <c r="L30" s="1175">
        <f>IF(G30&gt;0,((I30*G30)+(((C30*I17)-(C30*H26))*(L25-G30))),(I30*L25))</f>
        <v>0</v>
      </c>
    </row>
    <row r="31" spans="2:15" x14ac:dyDescent="0.25">
      <c r="B31" s="1124">
        <v>5</v>
      </c>
      <c r="C31" s="1126"/>
      <c r="D31" s="2306"/>
      <c r="E31" s="2306"/>
      <c r="F31" s="1126">
        <v>0</v>
      </c>
      <c r="G31" s="1172"/>
      <c r="H31" s="1173"/>
      <c r="I31" s="2307">
        <f>(C31*I15 )-(C31*H31 )</f>
        <v>0</v>
      </c>
      <c r="J31" s="2308"/>
      <c r="K31" s="1174">
        <f>IF(O15&gt;0,((I31*O15)+(((C31*I17)-(C31*H25))*(L25-O15))),(I31*L25))</f>
        <v>0</v>
      </c>
      <c r="L31" s="1175">
        <f>IF(G31&gt;0,((I31*G31)+(((C31*I17)-(C31*H27))*(L25-G31))),(I31*L25))</f>
        <v>0</v>
      </c>
    </row>
    <row r="32" spans="2:15" ht="15.75" thickBot="1" x14ac:dyDescent="0.3">
      <c r="B32" s="1176">
        <v>6</v>
      </c>
      <c r="C32" s="1177"/>
      <c r="D32" s="2309"/>
      <c r="E32" s="2309"/>
      <c r="F32" s="1177">
        <v>0</v>
      </c>
      <c r="G32" s="1178"/>
      <c r="H32" s="1179"/>
      <c r="I32" s="2310">
        <f>(C32*I16 )-(C32*H32 )</f>
        <v>0</v>
      </c>
      <c r="J32" s="2311"/>
      <c r="K32" s="1180">
        <f>IF(O16&gt;0,((I32*O16)+(((C32*I17)-(C32*H25))*(L25-O16))),(I32*L25))</f>
        <v>0</v>
      </c>
      <c r="L32" s="1181">
        <f>IF(G32&gt;0,((I32*G32)+(((C32*I17)-(C32*H28))*(L25-G32))),(I32*L25))</f>
        <v>0</v>
      </c>
    </row>
    <row r="33" spans="1:17" ht="15" customHeight="1" x14ac:dyDescent="0.25">
      <c r="B33" s="1182"/>
      <c r="C33" s="1288">
        <f>SUM(C27:C32)</f>
        <v>1400000</v>
      </c>
      <c r="D33" s="1183"/>
      <c r="E33" s="1184" t="s">
        <v>1214</v>
      </c>
      <c r="F33" s="1185">
        <f>SUM(F27:F32)</f>
        <v>395</v>
      </c>
      <c r="G33" s="1186"/>
      <c r="H33" s="1187" t="s">
        <v>1215</v>
      </c>
      <c r="I33" s="2292">
        <f>SUM(I27:I32)</f>
        <v>4100</v>
      </c>
      <c r="J33" s="2293"/>
      <c r="K33" s="1188">
        <f>SUM(K27:K32)</f>
        <v>23600</v>
      </c>
      <c r="L33" s="1189">
        <f>SUM(L27:L32)</f>
        <v>18449.999999999996</v>
      </c>
      <c r="M33" s="1190"/>
    </row>
    <row r="34" spans="1:17" ht="21" customHeight="1" thickBot="1" x14ac:dyDescent="0.4">
      <c r="B34" s="1191"/>
      <c r="C34" s="1192"/>
      <c r="D34" s="1192"/>
      <c r="E34" s="1193" t="s">
        <v>1216</v>
      </c>
      <c r="F34" s="1194">
        <f>F33+L17</f>
        <v>2745</v>
      </c>
      <c r="G34" s="2294" t="s">
        <v>1217</v>
      </c>
      <c r="H34" s="2295"/>
      <c r="I34" s="2296">
        <f>I33-F34</f>
        <v>1355</v>
      </c>
      <c r="J34" s="2297"/>
      <c r="K34" s="1195"/>
      <c r="L34" s="1196"/>
      <c r="M34" s="1197">
        <v>0</v>
      </c>
    </row>
    <row r="35" spans="1:17" ht="18.75" x14ac:dyDescent="0.25">
      <c r="G35" s="1198" t="s">
        <v>1218</v>
      </c>
      <c r="H35" s="1198"/>
      <c r="I35" s="1198"/>
    </row>
    <row r="36" spans="1:17" ht="18.75" x14ac:dyDescent="0.25">
      <c r="G36" s="1199"/>
      <c r="H36" s="1200"/>
      <c r="I36" s="1200"/>
    </row>
    <row r="37" spans="1:17" ht="15.75" thickBot="1" x14ac:dyDescent="0.3">
      <c r="H37" s="1200"/>
      <c r="I37" s="1200"/>
    </row>
    <row r="38" spans="1:17" ht="24" customHeight="1" thickBot="1" x14ac:dyDescent="0.4">
      <c r="B38" s="1201" t="s">
        <v>1219</v>
      </c>
      <c r="C38" s="1202"/>
      <c r="D38" s="1202"/>
      <c r="E38" s="1202"/>
      <c r="F38" s="1202"/>
      <c r="G38" s="1202"/>
      <c r="H38" s="1202"/>
      <c r="I38" s="2298" t="s">
        <v>1220</v>
      </c>
      <c r="J38" s="2298"/>
      <c r="K38" s="2299"/>
      <c r="L38" s="1203">
        <v>5</v>
      </c>
    </row>
    <row r="39" spans="1:17" ht="21.75" customHeight="1" thickBot="1" x14ac:dyDescent="0.3">
      <c r="B39" s="1204"/>
      <c r="C39" s="1205"/>
      <c r="D39" s="1205"/>
      <c r="E39" s="1205"/>
      <c r="F39" s="2300" t="s">
        <v>1221</v>
      </c>
      <c r="G39" s="2301"/>
      <c r="H39" s="2300" t="s">
        <v>1222</v>
      </c>
      <c r="I39" s="2301"/>
      <c r="J39" s="2300" t="s">
        <v>1223</v>
      </c>
      <c r="K39" s="2301"/>
      <c r="L39" s="2286" t="s">
        <v>1224</v>
      </c>
    </row>
    <row r="40" spans="1:17" ht="18" thickBot="1" x14ac:dyDescent="0.3">
      <c r="B40" s="2302" t="s">
        <v>26</v>
      </c>
      <c r="C40" s="2303"/>
      <c r="D40" s="1206" t="s">
        <v>889</v>
      </c>
      <c r="E40" s="1207" t="s">
        <v>1225</v>
      </c>
      <c r="F40" s="1208" t="s">
        <v>1226</v>
      </c>
      <c r="G40" s="1209" t="s">
        <v>1227</v>
      </c>
      <c r="H40" s="1210" t="s">
        <v>1228</v>
      </c>
      <c r="I40" s="1211" t="s">
        <v>1229</v>
      </c>
      <c r="J40" s="1212" t="s">
        <v>1230</v>
      </c>
      <c r="K40" s="1213" t="s">
        <v>1231</v>
      </c>
      <c r="L40" s="2287"/>
    </row>
    <row r="41" spans="1:17" x14ac:dyDescent="0.25">
      <c r="A41" s="1197"/>
      <c r="B41" s="2304" t="s">
        <v>315</v>
      </c>
      <c r="C41" s="2305"/>
      <c r="D41" s="1214">
        <v>300000</v>
      </c>
      <c r="E41" s="1215">
        <v>3</v>
      </c>
      <c r="F41" s="1216">
        <v>4.3999999999999997E-2</v>
      </c>
      <c r="G41" s="1217">
        <v>0.04</v>
      </c>
      <c r="H41" s="1218">
        <f>(D41*F41)</f>
        <v>13200</v>
      </c>
      <c r="I41" s="1219">
        <f>H41*E41</f>
        <v>39600</v>
      </c>
      <c r="J41" s="1220">
        <v>395</v>
      </c>
      <c r="K41" s="1219">
        <f>J41*E41</f>
        <v>1185</v>
      </c>
      <c r="L41" s="1221">
        <f>(I41+((D41*G41)*(L38-E41))) + (J41*L38)</f>
        <v>65575</v>
      </c>
    </row>
    <row r="42" spans="1:17" x14ac:dyDescent="0.25">
      <c r="A42" s="1197"/>
      <c r="B42" s="2288" t="s">
        <v>1232</v>
      </c>
      <c r="C42" s="2289"/>
      <c r="D42" s="1222">
        <v>300000</v>
      </c>
      <c r="E42" s="1223">
        <v>3</v>
      </c>
      <c r="F42" s="1224">
        <v>4.3200000000000002E-2</v>
      </c>
      <c r="G42" s="1225">
        <v>4.1099999999999998E-2</v>
      </c>
      <c r="H42" s="1218">
        <f t="shared" ref="H42:H46" si="1">(D42*F42)</f>
        <v>12960</v>
      </c>
      <c r="I42" s="1219">
        <f t="shared" ref="I42:I46" si="2">H42*E42</f>
        <v>38880</v>
      </c>
      <c r="J42" s="1226">
        <v>395</v>
      </c>
      <c r="K42" s="1219">
        <f t="shared" ref="K42:K46" si="3">J42*E42</f>
        <v>1185</v>
      </c>
      <c r="L42" s="1221">
        <f>(I42+((D42*G42)*(L38-E42))) + (J42*L38)</f>
        <v>65515</v>
      </c>
    </row>
    <row r="43" spans="1:17" x14ac:dyDescent="0.25">
      <c r="A43" s="1197"/>
      <c r="B43" s="2288" t="s">
        <v>306</v>
      </c>
      <c r="C43" s="2289"/>
      <c r="D43" s="1222">
        <v>300000</v>
      </c>
      <c r="E43" s="1223">
        <v>3</v>
      </c>
      <c r="F43" s="1224">
        <v>4.2200000000000001E-2</v>
      </c>
      <c r="G43" s="1225">
        <v>3.9899999999999998E-2</v>
      </c>
      <c r="H43" s="1218">
        <f t="shared" si="1"/>
        <v>12660</v>
      </c>
      <c r="I43" s="1219">
        <f t="shared" si="2"/>
        <v>37980</v>
      </c>
      <c r="J43" s="1226">
        <v>200</v>
      </c>
      <c r="K43" s="1219">
        <f t="shared" si="3"/>
        <v>600</v>
      </c>
      <c r="L43" s="1221">
        <f>(I43+((D43*G43)*(L38-E43))) + (J43*L38)</f>
        <v>62920</v>
      </c>
    </row>
    <row r="44" spans="1:17" x14ac:dyDescent="0.25">
      <c r="A44" s="1197"/>
      <c r="B44" s="2288" t="s">
        <v>320</v>
      </c>
      <c r="C44" s="2289"/>
      <c r="D44" s="1222">
        <v>300000</v>
      </c>
      <c r="E44" s="1223">
        <v>3</v>
      </c>
      <c r="F44" s="1224">
        <v>4.4999999999999998E-2</v>
      </c>
      <c r="G44" s="1225">
        <v>4.2000000000000003E-2</v>
      </c>
      <c r="H44" s="1218">
        <f t="shared" si="1"/>
        <v>13500</v>
      </c>
      <c r="I44" s="1219">
        <f t="shared" si="2"/>
        <v>40500</v>
      </c>
      <c r="J44" s="1226">
        <v>600</v>
      </c>
      <c r="K44" s="1219">
        <f t="shared" si="3"/>
        <v>1800</v>
      </c>
      <c r="L44" s="1221">
        <f>(I44+((D44*G44)*(L38-E44))) + (J44*L38)</f>
        <v>68700</v>
      </c>
    </row>
    <row r="45" spans="1:17" x14ac:dyDescent="0.25">
      <c r="A45" s="1197"/>
      <c r="B45" s="2288" t="s">
        <v>307</v>
      </c>
      <c r="C45" s="2289"/>
      <c r="D45" s="1222">
        <v>300000</v>
      </c>
      <c r="E45" s="1223">
        <v>3</v>
      </c>
      <c r="F45" s="1224">
        <v>4.5999999999999999E-2</v>
      </c>
      <c r="G45" s="1225">
        <v>4.3200000000000002E-2</v>
      </c>
      <c r="H45" s="1218">
        <f t="shared" si="1"/>
        <v>13800</v>
      </c>
      <c r="I45" s="1219">
        <f t="shared" si="2"/>
        <v>41400</v>
      </c>
      <c r="J45" s="1226">
        <v>300</v>
      </c>
      <c r="K45" s="1219">
        <f t="shared" si="3"/>
        <v>900</v>
      </c>
      <c r="L45" s="1221">
        <f>(I45+((D45*G45)*(L38-E45))) + (J45*L38)</f>
        <v>68820</v>
      </c>
    </row>
    <row r="46" spans="1:17" ht="15.75" thickBot="1" x14ac:dyDescent="0.3">
      <c r="A46" s="1197"/>
      <c r="B46" s="2290" t="s">
        <v>341</v>
      </c>
      <c r="C46" s="2291"/>
      <c r="D46" s="1227">
        <v>300000</v>
      </c>
      <c r="E46" s="1228">
        <v>3</v>
      </c>
      <c r="F46" s="1229">
        <v>4.2099999999999999E-2</v>
      </c>
      <c r="G46" s="1230">
        <v>3.85E-2</v>
      </c>
      <c r="H46" s="1231">
        <f t="shared" si="1"/>
        <v>12630</v>
      </c>
      <c r="I46" s="1232">
        <f t="shared" si="2"/>
        <v>37890</v>
      </c>
      <c r="J46" s="1233">
        <v>395</v>
      </c>
      <c r="K46" s="1232">
        <f t="shared" si="3"/>
        <v>1185</v>
      </c>
      <c r="L46" s="1234">
        <f>(I46+((D46*G46)*(L38-E46))) + (J46*L38)</f>
        <v>62965</v>
      </c>
    </row>
    <row r="47" spans="1:17" ht="13.5" customHeight="1" x14ac:dyDescent="0.25">
      <c r="A47" s="1197"/>
      <c r="B47" s="1235"/>
      <c r="C47" s="1235"/>
      <c r="D47" s="1235"/>
      <c r="E47" s="1236"/>
      <c r="F47" s="1237"/>
      <c r="G47" s="1237"/>
      <c r="H47" s="1236"/>
      <c r="I47" s="1237"/>
      <c r="J47" s="1237"/>
      <c r="K47" s="1237"/>
      <c r="L47" s="1236"/>
      <c r="M47" s="2284"/>
      <c r="N47" s="2284"/>
      <c r="O47" s="1238"/>
      <c r="P47" s="2285"/>
      <c r="Q47" s="2285"/>
    </row>
    <row r="48" spans="1:17" x14ac:dyDescent="0.25">
      <c r="A48" s="1239"/>
      <c r="F48" s="1240"/>
      <c r="G48" s="1241"/>
      <c r="H48" s="1241"/>
      <c r="I48" s="1240"/>
      <c r="J48" s="1241"/>
      <c r="K48" s="1241"/>
      <c r="L48" s="1240"/>
      <c r="M48" s="1241"/>
      <c r="N48" s="1241"/>
      <c r="O48" s="1242"/>
      <c r="P48" s="1243"/>
      <c r="Q48" s="1243"/>
    </row>
    <row r="49" spans="1:17" x14ac:dyDescent="0.25">
      <c r="A49" s="1239"/>
      <c r="F49" s="1244"/>
      <c r="G49" s="1245"/>
      <c r="H49" s="1245"/>
      <c r="I49" s="1244"/>
      <c r="J49" s="1245"/>
      <c r="K49" s="1245"/>
      <c r="L49" s="1244"/>
      <c r="M49" s="1245"/>
      <c r="N49" s="1245"/>
      <c r="O49" s="1246"/>
      <c r="P49" s="1247"/>
      <c r="Q49" s="1247"/>
    </row>
    <row r="50" spans="1:17" x14ac:dyDescent="0.25">
      <c r="A50" s="1239"/>
      <c r="F50" s="1244"/>
      <c r="G50" s="1245"/>
      <c r="H50" s="1245"/>
      <c r="I50" s="1244"/>
      <c r="J50" s="1245"/>
      <c r="K50" s="1245"/>
      <c r="L50" s="1244"/>
      <c r="M50" s="1245"/>
      <c r="N50" s="1245"/>
      <c r="O50" s="1246"/>
      <c r="P50" s="1247"/>
      <c r="Q50" s="1247"/>
    </row>
    <row r="51" spans="1:17" x14ac:dyDescent="0.25">
      <c r="A51" s="1239"/>
      <c r="F51" s="1244"/>
      <c r="G51" s="1245"/>
      <c r="H51" s="1245"/>
      <c r="I51" s="1244"/>
      <c r="J51" s="1245"/>
      <c r="K51" s="1245"/>
      <c r="L51" s="1244"/>
      <c r="M51" s="1245"/>
      <c r="N51" s="1245"/>
      <c r="O51" s="1246"/>
      <c r="P51" s="1247"/>
      <c r="Q51" s="1247"/>
    </row>
    <row r="52" spans="1:17" x14ac:dyDescent="0.25">
      <c r="F52" s="1244"/>
      <c r="G52" s="1245"/>
      <c r="H52" s="1245"/>
      <c r="I52" s="1244"/>
      <c r="J52" s="1245"/>
      <c r="K52" s="1245"/>
      <c r="L52" s="1244"/>
      <c r="M52" s="1245"/>
      <c r="N52" s="1245"/>
      <c r="O52" s="1246"/>
      <c r="P52" s="1247"/>
      <c r="Q52" s="1247"/>
    </row>
    <row r="53" spans="1:17" x14ac:dyDescent="0.25">
      <c r="F53" s="1244"/>
      <c r="G53" s="1245"/>
      <c r="H53" s="1245"/>
      <c r="I53" s="1244"/>
      <c r="J53" s="1245"/>
      <c r="K53" s="1245"/>
      <c r="L53" s="1244"/>
      <c r="M53" s="1245"/>
      <c r="N53" s="1245"/>
      <c r="O53" s="1246"/>
      <c r="P53" s="1247"/>
      <c r="Q53" s="1247"/>
    </row>
    <row r="54" spans="1:17" x14ac:dyDescent="0.25">
      <c r="F54" s="1244"/>
      <c r="G54" s="1245"/>
      <c r="H54" s="1245"/>
      <c r="I54" s="1244"/>
      <c r="J54" s="1245"/>
      <c r="K54" s="1245"/>
      <c r="L54" s="1244"/>
      <c r="M54" s="1245"/>
      <c r="N54" s="1245"/>
      <c r="O54" s="1246"/>
      <c r="P54" s="1247"/>
      <c r="Q54" s="1247"/>
    </row>
    <row r="55" spans="1:17" ht="21" x14ac:dyDescent="0.25">
      <c r="F55" s="1248"/>
      <c r="G55" s="2284"/>
      <c r="H55" s="2284"/>
    </row>
    <row r="56" spans="1:17" x14ac:dyDescent="0.25">
      <c r="F56" s="1240"/>
      <c r="G56" s="1241"/>
      <c r="H56" s="1241"/>
    </row>
    <row r="57" spans="1:17" x14ac:dyDescent="0.25">
      <c r="F57" s="1244"/>
      <c r="G57" s="1245"/>
      <c r="H57" s="1245"/>
    </row>
    <row r="58" spans="1:17" x14ac:dyDescent="0.25">
      <c r="F58" s="1244"/>
      <c r="G58" s="1245"/>
      <c r="H58" s="1245"/>
    </row>
    <row r="59" spans="1:17" x14ac:dyDescent="0.25">
      <c r="F59" s="1244"/>
      <c r="G59" s="1245"/>
      <c r="H59" s="1245"/>
    </row>
    <row r="60" spans="1:17" x14ac:dyDescent="0.25">
      <c r="F60" s="1244"/>
      <c r="G60" s="1245"/>
      <c r="H60" s="1245"/>
    </row>
    <row r="61" spans="1:17" x14ac:dyDescent="0.25">
      <c r="F61" s="1244"/>
      <c r="G61" s="1245"/>
      <c r="H61" s="1245"/>
    </row>
    <row r="62" spans="1:17" x14ac:dyDescent="0.25">
      <c r="F62" s="1244"/>
      <c r="G62" s="1245"/>
      <c r="H62" s="1245"/>
    </row>
    <row r="63" spans="1:17" ht="21" x14ac:dyDescent="0.25">
      <c r="F63" s="1248"/>
      <c r="G63" s="2284"/>
      <c r="H63" s="2284"/>
    </row>
    <row r="64" spans="1:17" x14ac:dyDescent="0.25">
      <c r="F64" s="1240"/>
      <c r="G64" s="1241"/>
      <c r="H64" s="1241"/>
    </row>
    <row r="65" spans="6:8" x14ac:dyDescent="0.25">
      <c r="F65" s="1244"/>
      <c r="G65" s="1245"/>
      <c r="H65" s="1245"/>
    </row>
    <row r="66" spans="6:8" x14ac:dyDescent="0.25">
      <c r="F66" s="1244"/>
      <c r="G66" s="1245"/>
      <c r="H66" s="1245"/>
    </row>
    <row r="67" spans="6:8" x14ac:dyDescent="0.25">
      <c r="F67" s="1244"/>
      <c r="G67" s="1245"/>
      <c r="H67" s="1245"/>
    </row>
    <row r="68" spans="6:8" x14ac:dyDescent="0.25">
      <c r="F68" s="1244"/>
      <c r="G68" s="1245"/>
      <c r="H68" s="1245"/>
    </row>
    <row r="69" spans="6:8" x14ac:dyDescent="0.25">
      <c r="F69" s="1244"/>
      <c r="G69" s="1245"/>
      <c r="H69" s="1245"/>
    </row>
    <row r="70" spans="6:8" x14ac:dyDescent="0.25">
      <c r="F70" s="1244"/>
      <c r="G70" s="1245"/>
      <c r="H70" s="1245"/>
    </row>
    <row r="92" spans="2:8" ht="15.75" thickBot="1" x14ac:dyDescent="0.3">
      <c r="F92" s="1249"/>
      <c r="G92" s="1250"/>
      <c r="H92" s="1251"/>
    </row>
    <row r="93" spans="2:8" x14ac:dyDescent="0.25">
      <c r="B93" s="1252"/>
      <c r="C93" s="1253"/>
      <c r="D93" s="1253"/>
      <c r="E93" s="1253"/>
      <c r="F93" s="1253"/>
      <c r="G93" s="1254"/>
      <c r="H93" s="1255"/>
    </row>
    <row r="94" spans="2:8" ht="15.75" thickBot="1" x14ac:dyDescent="0.3">
      <c r="B94" s="1256"/>
      <c r="C94" s="1257"/>
      <c r="D94" s="1257"/>
      <c r="E94" s="1257"/>
      <c r="F94" s="1257"/>
      <c r="G94" s="1258"/>
      <c r="H94" s="1259"/>
    </row>
    <row r="95" spans="2:8" x14ac:dyDescent="0.25">
      <c r="B95" s="1256"/>
      <c r="C95" s="1260" t="s">
        <v>307</v>
      </c>
      <c r="D95" s="1261">
        <v>7.4250000000000002E-3</v>
      </c>
      <c r="E95" s="1262"/>
      <c r="F95" s="1262"/>
      <c r="G95" s="1263"/>
      <c r="H95" s="1264"/>
    </row>
    <row r="96" spans="2:8" x14ac:dyDescent="0.25">
      <c r="B96" s="1256"/>
      <c r="C96" s="1265"/>
      <c r="D96" s="1266"/>
      <c r="E96" s="1267">
        <v>0</v>
      </c>
      <c r="F96" s="1267">
        <v>12</v>
      </c>
      <c r="G96" s="1268">
        <v>1</v>
      </c>
      <c r="H96" s="1264"/>
    </row>
    <row r="97" spans="2:8" x14ac:dyDescent="0.25">
      <c r="B97" s="1256"/>
      <c r="C97" s="1265"/>
      <c r="D97" s="1266"/>
      <c r="E97" s="1267">
        <v>13</v>
      </c>
      <c r="F97" s="1267">
        <v>15</v>
      </c>
      <c r="G97" s="1268">
        <v>0.5</v>
      </c>
      <c r="H97" s="1264"/>
    </row>
    <row r="98" spans="2:8" x14ac:dyDescent="0.25">
      <c r="B98" s="1256"/>
      <c r="C98" s="1265"/>
      <c r="D98" s="1266"/>
      <c r="E98" s="1267">
        <v>16</v>
      </c>
      <c r="F98" s="1267">
        <v>18</v>
      </c>
      <c r="G98" s="1268">
        <v>0.25</v>
      </c>
      <c r="H98" s="1264"/>
    </row>
    <row r="99" spans="2:8" ht="15.75" thickBot="1" x14ac:dyDescent="0.3">
      <c r="B99" s="1256"/>
      <c r="C99" s="1269"/>
      <c r="D99" s="1270"/>
      <c r="E99" s="1271">
        <v>19</v>
      </c>
      <c r="F99" s="1271">
        <v>9999</v>
      </c>
      <c r="G99" s="1272">
        <v>0</v>
      </c>
      <c r="H99" s="1264"/>
    </row>
    <row r="100" spans="2:8" x14ac:dyDescent="0.25">
      <c r="B100" s="1256"/>
      <c r="C100" s="1260" t="s">
        <v>971</v>
      </c>
      <c r="D100" s="1261">
        <v>6.4999999999999997E-3</v>
      </c>
      <c r="E100" s="1262"/>
      <c r="F100" s="1262"/>
      <c r="G100" s="1263"/>
      <c r="H100" s="1259"/>
    </row>
    <row r="101" spans="2:8" x14ac:dyDescent="0.25">
      <c r="B101" s="1256"/>
      <c r="C101" s="1265"/>
      <c r="D101" s="1266"/>
      <c r="E101" s="1267">
        <v>0</v>
      </c>
      <c r="F101" s="1267">
        <v>12</v>
      </c>
      <c r="G101" s="1268">
        <v>1</v>
      </c>
      <c r="H101" s="1259"/>
    </row>
    <row r="102" spans="2:8" x14ac:dyDescent="0.25">
      <c r="B102" s="1256"/>
      <c r="C102" s="1265"/>
      <c r="D102" s="1266"/>
      <c r="E102" s="1267">
        <v>13</v>
      </c>
      <c r="F102" s="1267">
        <v>24</v>
      </c>
      <c r="G102" s="1268">
        <v>0.5</v>
      </c>
      <c r="H102" s="1259"/>
    </row>
    <row r="103" spans="2:8" ht="15.75" thickBot="1" x14ac:dyDescent="0.3">
      <c r="B103" s="1256"/>
      <c r="C103" s="1269"/>
      <c r="D103" s="1270"/>
      <c r="E103" s="1271">
        <v>25</v>
      </c>
      <c r="F103" s="1271">
        <v>9999</v>
      </c>
      <c r="G103" s="1272">
        <v>0</v>
      </c>
      <c r="H103" s="1259"/>
    </row>
    <row r="104" spans="2:8" x14ac:dyDescent="0.25">
      <c r="B104" s="1256"/>
      <c r="C104" s="1260" t="s">
        <v>1233</v>
      </c>
      <c r="D104" s="1261">
        <v>7.7000000000000002E-3</v>
      </c>
      <c r="E104" s="1262"/>
      <c r="F104" s="1262"/>
      <c r="G104" s="1263"/>
      <c r="H104" s="1259"/>
    </row>
    <row r="105" spans="2:8" ht="39.75" customHeight="1" x14ac:dyDescent="0.25">
      <c r="B105" s="1256"/>
      <c r="C105" s="1265"/>
      <c r="D105" s="1266"/>
      <c r="E105" s="1267">
        <v>0</v>
      </c>
      <c r="F105" s="1267">
        <v>18</v>
      </c>
      <c r="G105" s="1273" t="s">
        <v>1234</v>
      </c>
      <c r="H105" s="1259"/>
    </row>
    <row r="106" spans="2:8" ht="15.75" thickBot="1" x14ac:dyDescent="0.3">
      <c r="B106" s="1256"/>
      <c r="C106" s="1269"/>
      <c r="D106" s="1270"/>
      <c r="E106" s="1271">
        <v>19</v>
      </c>
      <c r="F106" s="1271">
        <v>9999</v>
      </c>
      <c r="G106" s="1272">
        <v>0</v>
      </c>
      <c r="H106" s="1259"/>
    </row>
    <row r="107" spans="2:8" x14ac:dyDescent="0.25">
      <c r="B107" s="1256"/>
      <c r="C107" s="1260" t="s">
        <v>338</v>
      </c>
      <c r="D107" s="1261">
        <v>7.1500000000000001E-3</v>
      </c>
      <c r="E107" s="1262"/>
      <c r="F107" s="1262"/>
      <c r="G107" s="1263"/>
      <c r="H107" s="1259"/>
    </row>
    <row r="108" spans="2:8" x14ac:dyDescent="0.25">
      <c r="B108" s="1256"/>
      <c r="C108" s="1265"/>
      <c r="D108" s="1266"/>
      <c r="E108" s="1267">
        <v>0</v>
      </c>
      <c r="F108" s="1267">
        <v>12</v>
      </c>
      <c r="G108" s="1268">
        <v>1</v>
      </c>
      <c r="H108" s="1259"/>
    </row>
    <row r="109" spans="2:8" x14ac:dyDescent="0.25">
      <c r="B109" s="1256"/>
      <c r="C109" s="1265"/>
      <c r="D109" s="1266"/>
      <c r="E109" s="1267">
        <v>13</v>
      </c>
      <c r="F109" s="1267">
        <v>18</v>
      </c>
      <c r="G109" s="1268">
        <v>0.5</v>
      </c>
      <c r="H109" s="1259"/>
    </row>
    <row r="110" spans="2:8" ht="15.75" thickBot="1" x14ac:dyDescent="0.3">
      <c r="B110" s="1256"/>
      <c r="C110" s="1269"/>
      <c r="D110" s="1270"/>
      <c r="E110" s="1271">
        <v>19</v>
      </c>
      <c r="F110" s="1271">
        <v>9999</v>
      </c>
      <c r="G110" s="1272">
        <v>0</v>
      </c>
      <c r="H110" s="1259"/>
    </row>
    <row r="111" spans="2:8" x14ac:dyDescent="0.25">
      <c r="B111" s="1256"/>
      <c r="C111" s="1260" t="s">
        <v>306</v>
      </c>
      <c r="D111" s="1261">
        <v>7.1500000000000001E-3</v>
      </c>
      <c r="E111" s="1274"/>
      <c r="F111" s="1274"/>
      <c r="G111" s="1275"/>
      <c r="H111" s="1259"/>
    </row>
    <row r="112" spans="2:8" x14ac:dyDescent="0.25">
      <c r="B112" s="1256"/>
      <c r="C112" s="1265"/>
      <c r="D112" s="1266"/>
      <c r="E112" s="1267">
        <v>0</v>
      </c>
      <c r="F112" s="1267">
        <v>12</v>
      </c>
      <c r="G112" s="1268">
        <v>1</v>
      </c>
      <c r="H112" s="1259"/>
    </row>
    <row r="113" spans="2:8" x14ac:dyDescent="0.25">
      <c r="B113" s="1256"/>
      <c r="C113" s="1265"/>
      <c r="D113" s="1266"/>
      <c r="E113" s="1267">
        <v>13</v>
      </c>
      <c r="F113" s="1267">
        <v>18</v>
      </c>
      <c r="G113" s="1268">
        <v>0.5</v>
      </c>
      <c r="H113" s="1259"/>
    </row>
    <row r="114" spans="2:8" ht="15.75" thickBot="1" x14ac:dyDescent="0.3">
      <c r="B114" s="1256"/>
      <c r="C114" s="1269"/>
      <c r="D114" s="1270"/>
      <c r="E114" s="1271">
        <v>19</v>
      </c>
      <c r="F114" s="1271">
        <v>9999</v>
      </c>
      <c r="G114" s="1272">
        <v>0</v>
      </c>
      <c r="H114" s="1259"/>
    </row>
    <row r="115" spans="2:8" x14ac:dyDescent="0.25">
      <c r="B115" s="1256"/>
      <c r="C115" s="1260" t="s">
        <v>1235</v>
      </c>
      <c r="D115" s="1261">
        <v>7.1500000000000001E-3</v>
      </c>
      <c r="E115" s="1274"/>
      <c r="F115" s="1274"/>
      <c r="G115" s="1275"/>
      <c r="H115" s="1259"/>
    </row>
    <row r="116" spans="2:8" x14ac:dyDescent="0.25">
      <c r="B116" s="1256"/>
      <c r="C116" s="1265"/>
      <c r="D116" s="1266"/>
      <c r="E116" s="1267">
        <v>0</v>
      </c>
      <c r="F116" s="1267">
        <v>12</v>
      </c>
      <c r="G116" s="1268">
        <v>1</v>
      </c>
      <c r="H116" s="1259"/>
    </row>
    <row r="117" spans="2:8" x14ac:dyDescent="0.25">
      <c r="B117" s="1256"/>
      <c r="C117" s="1265"/>
      <c r="D117" s="1266"/>
      <c r="E117" s="1267">
        <v>13</v>
      </c>
      <c r="F117" s="1267">
        <v>18</v>
      </c>
      <c r="G117" s="1268">
        <v>0.5</v>
      </c>
      <c r="H117" s="1259"/>
    </row>
    <row r="118" spans="2:8" ht="15.75" thickBot="1" x14ac:dyDescent="0.3">
      <c r="B118" s="1256"/>
      <c r="C118" s="1269"/>
      <c r="D118" s="1270"/>
      <c r="E118" s="1271">
        <v>19</v>
      </c>
      <c r="F118" s="1271">
        <v>9999</v>
      </c>
      <c r="G118" s="1272">
        <v>0</v>
      </c>
      <c r="H118" s="1259"/>
    </row>
    <row r="119" spans="2:8" x14ac:dyDescent="0.25">
      <c r="B119" s="1256"/>
      <c r="C119" s="1260" t="s">
        <v>312</v>
      </c>
      <c r="D119" s="1261">
        <v>8.8000000000000005E-3</v>
      </c>
      <c r="E119" s="1274"/>
      <c r="F119" s="1274"/>
      <c r="G119" s="1275"/>
      <c r="H119" s="1259"/>
    </row>
    <row r="120" spans="2:8" x14ac:dyDescent="0.25">
      <c r="B120" s="1256"/>
      <c r="C120" s="1265"/>
      <c r="D120" s="1266"/>
      <c r="E120" s="1267">
        <v>0</v>
      </c>
      <c r="F120" s="1267">
        <v>12</v>
      </c>
      <c r="G120" s="1268">
        <v>1</v>
      </c>
      <c r="H120" s="1259"/>
    </row>
    <row r="121" spans="2:8" x14ac:dyDescent="0.25">
      <c r="B121" s="1256"/>
      <c r="C121" s="1265"/>
      <c r="D121" s="1266"/>
      <c r="E121" s="1267">
        <v>13</v>
      </c>
      <c r="F121" s="1267">
        <v>18</v>
      </c>
      <c r="G121" s="1268">
        <v>0.5</v>
      </c>
      <c r="H121" s="1259"/>
    </row>
    <row r="122" spans="2:8" ht="15.75" thickBot="1" x14ac:dyDescent="0.3">
      <c r="B122" s="1256"/>
      <c r="C122" s="1269"/>
      <c r="D122" s="1270"/>
      <c r="E122" s="1271">
        <v>19</v>
      </c>
      <c r="F122" s="1271">
        <v>9999</v>
      </c>
      <c r="G122" s="1272">
        <v>0</v>
      </c>
      <c r="H122" s="1259"/>
    </row>
    <row r="123" spans="2:8" x14ac:dyDescent="0.25">
      <c r="B123" s="1256"/>
      <c r="C123" s="1260" t="s">
        <v>341</v>
      </c>
      <c r="D123" s="1261">
        <v>7.1500000000000001E-3</v>
      </c>
      <c r="E123" s="1274"/>
      <c r="F123" s="1274"/>
      <c r="G123" s="1275"/>
      <c r="H123" s="1259"/>
    </row>
    <row r="124" spans="2:8" x14ac:dyDescent="0.25">
      <c r="B124" s="1256"/>
      <c r="C124" s="1265"/>
      <c r="D124" s="1266"/>
      <c r="E124" s="1267">
        <v>0</v>
      </c>
      <c r="F124" s="1267">
        <v>12</v>
      </c>
      <c r="G124" s="1268">
        <v>1</v>
      </c>
      <c r="H124" s="1259"/>
    </row>
    <row r="125" spans="2:8" x14ac:dyDescent="0.25">
      <c r="B125" s="1256"/>
      <c r="C125" s="1265"/>
      <c r="D125" s="1266"/>
      <c r="E125" s="1267">
        <v>13</v>
      </c>
      <c r="F125" s="1267">
        <v>18</v>
      </c>
      <c r="G125" s="1268">
        <v>0.5</v>
      </c>
      <c r="H125" s="1259"/>
    </row>
    <row r="126" spans="2:8" ht="15.75" thickBot="1" x14ac:dyDescent="0.3">
      <c r="B126" s="1256"/>
      <c r="C126" s="1269"/>
      <c r="D126" s="1270"/>
      <c r="E126" s="1271">
        <v>19</v>
      </c>
      <c r="F126" s="1271">
        <v>9999</v>
      </c>
      <c r="G126" s="1272">
        <v>0</v>
      </c>
      <c r="H126" s="1259"/>
    </row>
    <row r="127" spans="2:8" x14ac:dyDescent="0.25">
      <c r="B127" s="1256"/>
      <c r="C127" s="1260" t="s">
        <v>320</v>
      </c>
      <c r="D127" s="1261">
        <v>7.1500000000000001E-3</v>
      </c>
      <c r="E127" s="1262"/>
      <c r="F127" s="1262"/>
      <c r="G127" s="1263"/>
      <c r="H127" s="1259"/>
    </row>
    <row r="128" spans="2:8" x14ac:dyDescent="0.25">
      <c r="B128" s="1256"/>
      <c r="C128" s="1265"/>
      <c r="D128" s="1266"/>
      <c r="E128" s="1267">
        <v>0</v>
      </c>
      <c r="F128" s="1267">
        <v>12</v>
      </c>
      <c r="G128" s="1268">
        <v>1</v>
      </c>
      <c r="H128" s="1259"/>
    </row>
    <row r="129" spans="2:8" x14ac:dyDescent="0.25">
      <c r="B129" s="1256"/>
      <c r="C129" s="1265"/>
      <c r="D129" s="1266"/>
      <c r="E129" s="1267">
        <v>13</v>
      </c>
      <c r="F129" s="1267">
        <v>24</v>
      </c>
      <c r="G129" s="1268">
        <v>0.5</v>
      </c>
      <c r="H129" s="1259"/>
    </row>
    <row r="130" spans="2:8" ht="15.75" thickBot="1" x14ac:dyDescent="0.3">
      <c r="B130" s="1256"/>
      <c r="C130" s="1269"/>
      <c r="D130" s="1270"/>
      <c r="E130" s="1271">
        <v>25</v>
      </c>
      <c r="F130" s="1271">
        <v>9999</v>
      </c>
      <c r="G130" s="1272">
        <v>0</v>
      </c>
      <c r="H130" s="1259"/>
    </row>
    <row r="131" spans="2:8" x14ac:dyDescent="0.25">
      <c r="B131" s="1256"/>
      <c r="C131" s="1260" t="s">
        <v>1236</v>
      </c>
      <c r="D131" s="1261">
        <v>8.0300000000000007E-3</v>
      </c>
      <c r="E131" s="1262"/>
      <c r="F131" s="1262"/>
      <c r="G131" s="1263"/>
      <c r="H131" s="1259"/>
    </row>
    <row r="132" spans="2:8" x14ac:dyDescent="0.25">
      <c r="B132" s="1256"/>
      <c r="C132" s="1265"/>
      <c r="D132" s="1266"/>
      <c r="E132" s="1267">
        <v>0</v>
      </c>
      <c r="F132" s="1267">
        <v>12</v>
      </c>
      <c r="G132" s="1268">
        <v>1</v>
      </c>
      <c r="H132" s="1259"/>
    </row>
    <row r="133" spans="2:8" x14ac:dyDescent="0.25">
      <c r="B133" s="1256"/>
      <c r="C133" s="1265"/>
      <c r="D133" s="1266"/>
      <c r="E133" s="1267">
        <v>13</v>
      </c>
      <c r="F133" s="1267">
        <v>18</v>
      </c>
      <c r="G133" s="1268">
        <v>0.5</v>
      </c>
      <c r="H133" s="1259"/>
    </row>
    <row r="134" spans="2:8" ht="15.75" thickBot="1" x14ac:dyDescent="0.3">
      <c r="B134" s="1256"/>
      <c r="C134" s="1269"/>
      <c r="D134" s="1270"/>
      <c r="E134" s="1271">
        <v>19</v>
      </c>
      <c r="F134" s="1271">
        <v>9999</v>
      </c>
      <c r="G134" s="1272">
        <v>0</v>
      </c>
      <c r="H134" s="1259"/>
    </row>
    <row r="135" spans="2:8" x14ac:dyDescent="0.25">
      <c r="B135" s="1256"/>
      <c r="C135" s="1260" t="s">
        <v>1237</v>
      </c>
      <c r="D135" s="1261">
        <v>6.6E-3</v>
      </c>
      <c r="E135" s="1262"/>
      <c r="F135" s="1262"/>
      <c r="G135" s="1263"/>
      <c r="H135" s="1259"/>
    </row>
    <row r="136" spans="2:8" x14ac:dyDescent="0.25">
      <c r="B136" s="1256"/>
      <c r="C136" s="1265"/>
      <c r="D136" s="1266"/>
      <c r="E136" s="1267">
        <v>0</v>
      </c>
      <c r="F136" s="1267">
        <v>12</v>
      </c>
      <c r="G136" s="1268">
        <v>1</v>
      </c>
      <c r="H136" s="1259"/>
    </row>
    <row r="137" spans="2:8" x14ac:dyDescent="0.25">
      <c r="B137" s="1256"/>
      <c r="C137" s="1265"/>
      <c r="D137" s="1266"/>
      <c r="E137" s="1267">
        <v>13</v>
      </c>
      <c r="F137" s="1267">
        <v>18</v>
      </c>
      <c r="G137" s="1268">
        <v>0.5</v>
      </c>
      <c r="H137" s="1259"/>
    </row>
    <row r="138" spans="2:8" ht="15.75" thickBot="1" x14ac:dyDescent="0.3">
      <c r="B138" s="1256"/>
      <c r="C138" s="1269"/>
      <c r="D138" s="1270"/>
      <c r="E138" s="1271">
        <v>19</v>
      </c>
      <c r="F138" s="1271">
        <v>9999</v>
      </c>
      <c r="G138" s="1272">
        <v>0</v>
      </c>
      <c r="H138" s="1259"/>
    </row>
    <row r="139" spans="2:8" x14ac:dyDescent="0.25">
      <c r="B139" s="1256"/>
      <c r="C139" s="1260" t="s">
        <v>1238</v>
      </c>
      <c r="D139" s="1261">
        <v>6.6E-3</v>
      </c>
      <c r="E139" s="1262"/>
      <c r="F139" s="1262"/>
      <c r="G139" s="1263"/>
      <c r="H139" s="1259"/>
    </row>
    <row r="140" spans="2:8" x14ac:dyDescent="0.25">
      <c r="B140" s="1256"/>
      <c r="C140" s="1265"/>
      <c r="D140" s="1266"/>
      <c r="E140" s="1267">
        <v>0</v>
      </c>
      <c r="F140" s="1267">
        <v>6</v>
      </c>
      <c r="G140" s="1268">
        <v>1</v>
      </c>
      <c r="H140" s="1259"/>
    </row>
    <row r="141" spans="2:8" ht="15.75" thickBot="1" x14ac:dyDescent="0.3">
      <c r="B141" s="1256"/>
      <c r="C141" s="1269"/>
      <c r="D141" s="1270"/>
      <c r="E141" s="1271">
        <v>7</v>
      </c>
      <c r="F141" s="1271">
        <v>9999</v>
      </c>
      <c r="G141" s="1272">
        <v>0</v>
      </c>
      <c r="H141" s="1259"/>
    </row>
    <row r="142" spans="2:8" x14ac:dyDescent="0.25">
      <c r="B142" s="1256"/>
      <c r="C142" s="1260" t="s">
        <v>1239</v>
      </c>
      <c r="D142" s="1261">
        <v>7.1500000000000001E-3</v>
      </c>
      <c r="E142" s="1262"/>
      <c r="F142" s="1262"/>
      <c r="G142" s="1263"/>
      <c r="H142" s="1259"/>
    </row>
    <row r="143" spans="2:8" x14ac:dyDescent="0.25">
      <c r="B143" s="1256"/>
      <c r="C143" s="1265"/>
      <c r="D143" s="1266"/>
      <c r="E143" s="1267">
        <v>0</v>
      </c>
      <c r="F143" s="1267">
        <v>12</v>
      </c>
      <c r="G143" s="1268">
        <v>1</v>
      </c>
      <c r="H143" s="1259"/>
    </row>
    <row r="144" spans="2:8" x14ac:dyDescent="0.25">
      <c r="B144" s="1256"/>
      <c r="C144" s="1265"/>
      <c r="D144" s="1266"/>
      <c r="E144" s="1267">
        <v>13</v>
      </c>
      <c r="F144" s="1267">
        <v>24</v>
      </c>
      <c r="G144" s="1268">
        <v>0.5</v>
      </c>
      <c r="H144" s="1259"/>
    </row>
    <row r="145" spans="2:8" ht="15.75" thickBot="1" x14ac:dyDescent="0.3">
      <c r="B145" s="1256"/>
      <c r="C145" s="1269"/>
      <c r="D145" s="1270"/>
      <c r="E145" s="1271">
        <v>25</v>
      </c>
      <c r="F145" s="1271">
        <v>9999</v>
      </c>
      <c r="G145" s="1272">
        <v>0</v>
      </c>
      <c r="H145" s="1259"/>
    </row>
    <row r="146" spans="2:8" x14ac:dyDescent="0.25">
      <c r="B146" s="1256"/>
      <c r="C146" s="1260" t="s">
        <v>1240</v>
      </c>
      <c r="D146" s="1261">
        <v>7.1500000000000001E-3</v>
      </c>
      <c r="E146" s="1262"/>
      <c r="F146" s="1262"/>
      <c r="G146" s="1263"/>
      <c r="H146" s="1259"/>
    </row>
    <row r="147" spans="2:8" x14ac:dyDescent="0.25">
      <c r="B147" s="1256"/>
      <c r="C147" s="1265"/>
      <c r="D147" s="1266"/>
      <c r="E147" s="1267">
        <v>0</v>
      </c>
      <c r="F147" s="1267">
        <v>12</v>
      </c>
      <c r="G147" s="1268">
        <v>1</v>
      </c>
      <c r="H147" s="1259"/>
    </row>
    <row r="148" spans="2:8" x14ac:dyDescent="0.25">
      <c r="B148" s="1256"/>
      <c r="C148" s="1265"/>
      <c r="D148" s="1266"/>
      <c r="E148" s="1267">
        <v>13</v>
      </c>
      <c r="F148" s="1267">
        <v>24</v>
      </c>
      <c r="G148" s="1268">
        <v>0.5</v>
      </c>
      <c r="H148" s="1259"/>
    </row>
    <row r="149" spans="2:8" ht="15.75" thickBot="1" x14ac:dyDescent="0.3">
      <c r="B149" s="1256"/>
      <c r="C149" s="1269"/>
      <c r="D149" s="1270"/>
      <c r="E149" s="1271">
        <v>25</v>
      </c>
      <c r="F149" s="1271">
        <v>9999</v>
      </c>
      <c r="G149" s="1272">
        <v>0</v>
      </c>
      <c r="H149" s="1259"/>
    </row>
    <row r="150" spans="2:8" x14ac:dyDescent="0.25">
      <c r="B150" s="1256"/>
      <c r="C150" s="1265" t="s">
        <v>958</v>
      </c>
      <c r="D150" s="1266">
        <v>7.7000000000000002E-3</v>
      </c>
      <c r="E150" s="1267"/>
      <c r="F150" s="1267"/>
      <c r="G150" s="1268"/>
      <c r="H150" s="1259"/>
    </row>
    <row r="151" spans="2:8" x14ac:dyDescent="0.25">
      <c r="B151" s="1256"/>
      <c r="C151" s="1265"/>
      <c r="D151" s="1266"/>
      <c r="E151" s="1267">
        <v>0</v>
      </c>
      <c r="F151" s="1267">
        <v>12</v>
      </c>
      <c r="G151" s="1268">
        <v>0.75</v>
      </c>
      <c r="H151" s="1259"/>
    </row>
    <row r="152" spans="2:8" ht="15.75" thickBot="1" x14ac:dyDescent="0.3">
      <c r="B152" s="1256"/>
      <c r="C152" s="1265"/>
      <c r="D152" s="1266"/>
      <c r="E152" s="1267">
        <v>13</v>
      </c>
      <c r="F152" s="1267">
        <v>9999</v>
      </c>
      <c r="G152" s="1268">
        <v>0</v>
      </c>
      <c r="H152" s="1259"/>
    </row>
    <row r="153" spans="2:8" x14ac:dyDescent="0.25">
      <c r="B153" s="1256"/>
      <c r="C153" s="1260" t="s">
        <v>1241</v>
      </c>
      <c r="D153" s="1261">
        <v>7.1500000000000001E-3</v>
      </c>
      <c r="E153" s="1262"/>
      <c r="F153" s="1262"/>
      <c r="G153" s="1263"/>
      <c r="H153" s="1264"/>
    </row>
    <row r="154" spans="2:8" x14ac:dyDescent="0.25">
      <c r="B154" s="1256"/>
      <c r="C154" s="1265"/>
      <c r="D154" s="1266"/>
      <c r="E154" s="1267">
        <v>0</v>
      </c>
      <c r="F154" s="1267">
        <v>12</v>
      </c>
      <c r="G154" s="1268">
        <v>1</v>
      </c>
      <c r="H154" s="1264"/>
    </row>
    <row r="155" spans="2:8" x14ac:dyDescent="0.25">
      <c r="B155" s="1256"/>
      <c r="C155" s="1265"/>
      <c r="D155" s="1266"/>
      <c r="E155" s="1267">
        <v>13</v>
      </c>
      <c r="F155" s="1267">
        <v>24</v>
      </c>
      <c r="G155" s="1268">
        <v>0.5</v>
      </c>
      <c r="H155" s="1264"/>
    </row>
    <row r="156" spans="2:8" ht="15.75" thickBot="1" x14ac:dyDescent="0.3">
      <c r="B156" s="1256"/>
      <c r="C156" s="1269"/>
      <c r="D156" s="1270"/>
      <c r="E156" s="1271">
        <v>25</v>
      </c>
      <c r="F156" s="1271">
        <v>9999</v>
      </c>
      <c r="G156" s="1272">
        <v>0</v>
      </c>
      <c r="H156" s="1264"/>
    </row>
    <row r="157" spans="2:8" x14ac:dyDescent="0.25">
      <c r="B157" s="1256"/>
      <c r="C157" s="1260" t="s">
        <v>360</v>
      </c>
      <c r="D157" s="1261">
        <v>7.1500000000000001E-3</v>
      </c>
      <c r="E157" s="1262"/>
      <c r="F157" s="1262"/>
      <c r="G157" s="1263"/>
      <c r="H157" s="1264"/>
    </row>
    <row r="158" spans="2:8" x14ac:dyDescent="0.25">
      <c r="B158" s="1256"/>
      <c r="C158" s="1265"/>
      <c r="D158" s="1266"/>
      <c r="E158" s="1267">
        <v>0</v>
      </c>
      <c r="F158" s="1267">
        <v>12</v>
      </c>
      <c r="G158" s="1268">
        <v>1</v>
      </c>
      <c r="H158" s="1264"/>
    </row>
    <row r="159" spans="2:8" x14ac:dyDescent="0.25">
      <c r="B159" s="1256"/>
      <c r="C159" s="1265"/>
      <c r="D159" s="1266"/>
      <c r="E159" s="1267">
        <v>13</v>
      </c>
      <c r="F159" s="1267">
        <v>18</v>
      </c>
      <c r="G159" s="1268">
        <v>0.5</v>
      </c>
      <c r="H159" s="1259"/>
    </row>
    <row r="160" spans="2:8" ht="15.75" thickBot="1" x14ac:dyDescent="0.3">
      <c r="B160" s="1256"/>
      <c r="C160" s="1269"/>
      <c r="D160" s="1270"/>
      <c r="E160" s="1271">
        <v>19</v>
      </c>
      <c r="F160" s="1271">
        <v>9999</v>
      </c>
      <c r="G160" s="1272">
        <v>0</v>
      </c>
      <c r="H160" s="1259"/>
    </row>
    <row r="161" spans="2:11" x14ac:dyDescent="0.25">
      <c r="B161" s="1256"/>
      <c r="C161" s="1260" t="s">
        <v>1242</v>
      </c>
      <c r="D161" s="1261">
        <v>7.7000000000000002E-3</v>
      </c>
      <c r="E161" s="1262"/>
      <c r="F161" s="1262"/>
      <c r="G161" s="1263"/>
      <c r="H161" s="1259"/>
    </row>
    <row r="162" spans="2:11" x14ac:dyDescent="0.25">
      <c r="B162" s="1256"/>
      <c r="C162" s="1265"/>
      <c r="D162" s="1266"/>
      <c r="E162" s="1267">
        <v>0</v>
      </c>
      <c r="F162" s="1267">
        <v>183</v>
      </c>
      <c r="G162" s="1268">
        <v>1</v>
      </c>
      <c r="H162" s="1259"/>
    </row>
    <row r="163" spans="2:11" x14ac:dyDescent="0.25">
      <c r="B163" s="1256"/>
      <c r="C163" s="1265"/>
      <c r="D163" s="1266"/>
      <c r="E163" s="1267">
        <v>184</v>
      </c>
      <c r="F163" s="1267">
        <v>365</v>
      </c>
      <c r="G163" s="1268">
        <v>0.75</v>
      </c>
      <c r="H163" s="1259"/>
    </row>
    <row r="164" spans="2:11" x14ac:dyDescent="0.25">
      <c r="B164" s="1256"/>
      <c r="C164" s="1265"/>
      <c r="D164" s="1266"/>
      <c r="E164" s="1267">
        <v>366</v>
      </c>
      <c r="F164" s="1267">
        <v>548</v>
      </c>
      <c r="G164" s="1268">
        <v>0.5</v>
      </c>
      <c r="H164" s="1259"/>
    </row>
    <row r="165" spans="2:11" x14ac:dyDescent="0.25">
      <c r="B165" s="1256"/>
      <c r="C165" s="1265"/>
      <c r="D165" s="1266"/>
      <c r="E165" s="1267">
        <v>549</v>
      </c>
      <c r="F165" s="1267">
        <v>730</v>
      </c>
      <c r="G165" s="1268">
        <v>0.25</v>
      </c>
      <c r="H165" s="1259"/>
    </row>
    <row r="166" spans="2:11" ht="15.75" thickBot="1" x14ac:dyDescent="0.3">
      <c r="B166" s="1256"/>
      <c r="C166" s="1269"/>
      <c r="D166" s="1270"/>
      <c r="E166" s="1271">
        <v>730</v>
      </c>
      <c r="F166" s="1271">
        <v>99999999</v>
      </c>
      <c r="G166" s="1272">
        <v>0</v>
      </c>
      <c r="H166" s="1259"/>
    </row>
    <row r="167" spans="2:11" x14ac:dyDescent="0.25">
      <c r="B167" s="1256"/>
      <c r="C167" s="1260" t="s">
        <v>315</v>
      </c>
      <c r="D167" s="1261">
        <v>6.4999999999999997E-3</v>
      </c>
      <c r="E167" s="1262"/>
      <c r="F167" s="1262"/>
      <c r="G167" s="1263"/>
      <c r="H167" s="1259"/>
    </row>
    <row r="168" spans="2:11" x14ac:dyDescent="0.25">
      <c r="B168" s="1256"/>
      <c r="C168" s="1265"/>
      <c r="D168" s="1276"/>
      <c r="E168" s="1267">
        <v>0</v>
      </c>
      <c r="F168" s="1267">
        <v>12</v>
      </c>
      <c r="G168" s="1268">
        <v>1</v>
      </c>
      <c r="H168" s="1259"/>
    </row>
    <row r="169" spans="2:11" x14ac:dyDescent="0.25">
      <c r="B169" s="1256"/>
      <c r="C169" s="1265"/>
      <c r="D169" s="1276"/>
      <c r="E169" s="1267">
        <v>13</v>
      </c>
      <c r="F169" s="1267">
        <v>24</v>
      </c>
      <c r="G169" s="1268">
        <v>0.5</v>
      </c>
      <c r="H169" s="1259"/>
      <c r="I169" s="1277"/>
      <c r="J169" s="1277"/>
      <c r="K169" s="1277"/>
    </row>
    <row r="170" spans="2:11" ht="15.75" thickBot="1" x14ac:dyDescent="0.3">
      <c r="B170" s="1256"/>
      <c r="C170" s="1278"/>
      <c r="D170" s="1279"/>
      <c r="E170" s="1271">
        <v>25</v>
      </c>
      <c r="F170" s="1271">
        <v>999</v>
      </c>
      <c r="G170" s="1272">
        <v>0</v>
      </c>
      <c r="H170" s="1259"/>
      <c r="I170" s="1277"/>
      <c r="J170" s="1277"/>
      <c r="K170" s="1280"/>
    </row>
    <row r="171" spans="2:11" x14ac:dyDescent="0.25">
      <c r="B171" s="1256"/>
      <c r="C171" s="1257"/>
      <c r="D171" s="1257"/>
      <c r="E171" s="1257"/>
      <c r="F171" s="1267"/>
      <c r="G171" s="1258"/>
      <c r="H171" s="1259"/>
      <c r="I171" s="1277"/>
      <c r="J171" s="1277"/>
      <c r="K171" s="1280"/>
    </row>
    <row r="172" spans="2:11" x14ac:dyDescent="0.25">
      <c r="B172" s="1256"/>
      <c r="C172" s="1257" t="s">
        <v>1243</v>
      </c>
      <c r="D172" s="1257"/>
      <c r="E172" s="1257"/>
      <c r="F172" s="1267"/>
      <c r="G172" s="1276" t="s">
        <v>307</v>
      </c>
      <c r="H172" s="1259"/>
      <c r="I172" s="1277"/>
      <c r="J172" s="1277"/>
      <c r="K172" s="1280"/>
    </row>
    <row r="173" spans="2:11" x14ac:dyDescent="0.25">
      <c r="B173" s="1256"/>
      <c r="C173" s="1257" t="s">
        <v>331</v>
      </c>
      <c r="D173" s="1257"/>
      <c r="E173" s="1257"/>
      <c r="F173" s="1257"/>
      <c r="G173" s="1276" t="s">
        <v>971</v>
      </c>
      <c r="H173" s="1259"/>
      <c r="I173" s="1277"/>
      <c r="J173" s="1277"/>
      <c r="K173" s="1280"/>
    </row>
    <row r="174" spans="2:11" x14ac:dyDescent="0.25">
      <c r="B174" s="1256"/>
      <c r="C174" s="1257" t="s">
        <v>1244</v>
      </c>
      <c r="D174" s="1257"/>
      <c r="E174" s="1257"/>
      <c r="F174" s="1257"/>
      <c r="G174" s="1276" t="s">
        <v>1233</v>
      </c>
      <c r="H174" s="1259"/>
      <c r="I174" s="1277"/>
      <c r="J174" s="1277"/>
      <c r="K174" s="1277"/>
    </row>
    <row r="175" spans="2:11" x14ac:dyDescent="0.25">
      <c r="B175" s="1256"/>
      <c r="C175" s="1257" t="s">
        <v>1245</v>
      </c>
      <c r="D175" s="1257"/>
      <c r="E175" s="1257"/>
      <c r="F175" s="1257"/>
      <c r="G175" s="1276" t="s">
        <v>338</v>
      </c>
      <c r="H175" s="1259"/>
      <c r="I175" s="1277"/>
      <c r="J175" s="1277"/>
      <c r="K175" s="1277"/>
    </row>
    <row r="176" spans="2:11" x14ac:dyDescent="0.25">
      <c r="B176" s="1256"/>
      <c r="C176" s="1257" t="s">
        <v>1246</v>
      </c>
      <c r="D176" s="1257"/>
      <c r="E176" s="1257"/>
      <c r="F176" s="1257"/>
      <c r="G176" s="1276" t="s">
        <v>306</v>
      </c>
      <c r="H176" s="1259"/>
      <c r="I176" s="1277"/>
      <c r="J176" s="1277"/>
      <c r="K176" s="1277"/>
    </row>
    <row r="177" spans="2:11" x14ac:dyDescent="0.25">
      <c r="B177" s="1256"/>
      <c r="C177" s="1257" t="s">
        <v>1247</v>
      </c>
      <c r="D177" s="1257"/>
      <c r="E177" s="1257"/>
      <c r="F177" s="1257"/>
      <c r="G177" s="1276" t="s">
        <v>1235</v>
      </c>
      <c r="H177" s="1259"/>
      <c r="I177" s="1277"/>
      <c r="J177" s="1277"/>
      <c r="K177" s="1280"/>
    </row>
    <row r="178" spans="2:11" x14ac:dyDescent="0.25">
      <c r="B178" s="1256"/>
      <c r="C178" s="1257" t="s">
        <v>1248</v>
      </c>
      <c r="D178" s="1257"/>
      <c r="E178" s="1257"/>
      <c r="F178" s="1257"/>
      <c r="G178" s="1276" t="s">
        <v>312</v>
      </c>
      <c r="H178" s="1259"/>
      <c r="I178" s="1277"/>
      <c r="J178" s="1277"/>
      <c r="K178" s="1280"/>
    </row>
    <row r="179" spans="2:11" x14ac:dyDescent="0.25">
      <c r="B179" s="1256"/>
      <c r="C179" s="1257" t="s">
        <v>316</v>
      </c>
      <c r="D179" s="1257"/>
      <c r="E179" s="1257"/>
      <c r="F179" s="1257"/>
      <c r="G179" s="1276" t="s">
        <v>341</v>
      </c>
      <c r="H179" s="1259"/>
      <c r="I179" s="1277"/>
      <c r="J179" s="1277"/>
      <c r="K179" s="1280"/>
    </row>
    <row r="180" spans="2:11" x14ac:dyDescent="0.25">
      <c r="B180" s="1256"/>
      <c r="C180" s="1257" t="s">
        <v>1249</v>
      </c>
      <c r="D180" s="1257"/>
      <c r="E180" s="1257"/>
      <c r="F180" s="1257"/>
      <c r="G180" s="1276" t="s">
        <v>320</v>
      </c>
      <c r="H180" s="1259"/>
      <c r="I180" s="1277"/>
      <c r="J180" s="1277"/>
      <c r="K180" s="1277"/>
    </row>
    <row r="181" spans="2:11" x14ac:dyDescent="0.25">
      <c r="B181" s="1256"/>
      <c r="C181" s="1257" t="s">
        <v>1250</v>
      </c>
      <c r="D181" s="1257"/>
      <c r="E181" s="1257"/>
      <c r="F181" s="1257"/>
      <c r="G181" s="1276" t="s">
        <v>1236</v>
      </c>
      <c r="H181" s="1259"/>
      <c r="I181" s="1277"/>
      <c r="J181" s="1277"/>
      <c r="K181" s="1277"/>
    </row>
    <row r="182" spans="2:11" x14ac:dyDescent="0.25">
      <c r="B182" s="1256"/>
      <c r="C182" s="1257" t="s">
        <v>1251</v>
      </c>
      <c r="D182" s="1257"/>
      <c r="E182" s="1257"/>
      <c r="F182" s="1257"/>
      <c r="G182" s="1276" t="s">
        <v>1237</v>
      </c>
      <c r="H182" s="1259"/>
      <c r="I182" s="1277"/>
      <c r="J182" s="1277"/>
      <c r="K182" s="1277"/>
    </row>
    <row r="183" spans="2:11" x14ac:dyDescent="0.25">
      <c r="B183" s="1256"/>
      <c r="C183" s="1257" t="s">
        <v>333</v>
      </c>
      <c r="D183" s="1257"/>
      <c r="E183" s="1257"/>
      <c r="F183" s="1257"/>
      <c r="G183" s="1276" t="s">
        <v>1238</v>
      </c>
      <c r="H183" s="1259"/>
      <c r="I183" s="1277"/>
      <c r="J183" s="1277"/>
      <c r="K183" s="1280"/>
    </row>
    <row r="184" spans="2:11" x14ac:dyDescent="0.25">
      <c r="B184" s="1256"/>
      <c r="C184" s="1257" t="s">
        <v>1100</v>
      </c>
      <c r="D184" s="1257"/>
      <c r="E184" s="1257"/>
      <c r="F184" s="1257"/>
      <c r="G184" s="1276" t="s">
        <v>1252</v>
      </c>
      <c r="H184" s="1259"/>
      <c r="I184" s="1277"/>
      <c r="J184" s="1277"/>
      <c r="K184" s="1280"/>
    </row>
    <row r="185" spans="2:11" x14ac:dyDescent="0.25">
      <c r="B185" s="1256"/>
      <c r="C185" s="1257" t="s">
        <v>1253</v>
      </c>
      <c r="D185" s="1257"/>
      <c r="E185" s="1257"/>
      <c r="F185" s="1257"/>
      <c r="G185" s="1276" t="s">
        <v>1240</v>
      </c>
      <c r="H185" s="1259"/>
      <c r="I185" s="1277"/>
      <c r="J185" s="1277"/>
      <c r="K185" s="1280"/>
    </row>
    <row r="186" spans="2:11" x14ac:dyDescent="0.25">
      <c r="B186" s="1256"/>
      <c r="C186" s="1257" t="s">
        <v>1254</v>
      </c>
      <c r="D186" s="1257"/>
      <c r="E186" s="1257"/>
      <c r="F186" s="1257"/>
      <c r="G186" s="1276" t="s">
        <v>958</v>
      </c>
      <c r="H186" s="1259"/>
      <c r="I186" s="1277"/>
      <c r="J186" s="1277"/>
      <c r="K186" s="1277"/>
    </row>
    <row r="187" spans="2:11" x14ac:dyDescent="0.25">
      <c r="B187" s="1256"/>
      <c r="C187" s="1257" t="s">
        <v>1255</v>
      </c>
      <c r="D187" s="1257"/>
      <c r="E187" s="1257"/>
      <c r="F187" s="1257"/>
      <c r="G187" s="1276" t="s">
        <v>1241</v>
      </c>
      <c r="H187" s="1259"/>
      <c r="I187" s="1277"/>
      <c r="J187" s="1277"/>
      <c r="K187" s="1277"/>
    </row>
    <row r="188" spans="2:11" x14ac:dyDescent="0.25">
      <c r="B188" s="1256"/>
      <c r="C188" s="1257" t="s">
        <v>1256</v>
      </c>
      <c r="D188" s="1257"/>
      <c r="E188" s="1257"/>
      <c r="F188" s="1257"/>
      <c r="G188" s="1276" t="s">
        <v>360</v>
      </c>
      <c r="H188" s="1259"/>
      <c r="I188" s="1277"/>
      <c r="J188" s="1277"/>
      <c r="K188" s="1280"/>
    </row>
    <row r="189" spans="2:11" x14ac:dyDescent="0.25">
      <c r="B189" s="1256"/>
      <c r="C189" s="1257" t="s">
        <v>1257</v>
      </c>
      <c r="D189" s="1257"/>
      <c r="E189" s="1257"/>
      <c r="F189" s="1257"/>
      <c r="G189" s="1276" t="s">
        <v>1242</v>
      </c>
      <c r="H189" s="1259"/>
      <c r="I189" s="1277"/>
      <c r="J189" s="1277"/>
      <c r="K189" s="1280"/>
    </row>
    <row r="190" spans="2:11" x14ac:dyDescent="0.25">
      <c r="B190" s="1256"/>
      <c r="C190" s="1257" t="s">
        <v>1258</v>
      </c>
      <c r="D190" s="1257"/>
      <c r="E190" s="1257"/>
      <c r="F190" s="1257"/>
      <c r="G190" s="1276" t="s">
        <v>315</v>
      </c>
      <c r="H190" s="1259"/>
      <c r="I190" s="1277"/>
      <c r="J190" s="1277"/>
      <c r="K190" s="1277"/>
    </row>
    <row r="191" spans="2:11" x14ac:dyDescent="0.25">
      <c r="B191" s="1256"/>
      <c r="C191" s="1257" t="s">
        <v>1259</v>
      </c>
      <c r="D191" s="1257"/>
      <c r="E191" s="1257"/>
      <c r="F191" s="1257"/>
      <c r="G191" s="1258" t="s">
        <v>19</v>
      </c>
      <c r="H191" s="1259"/>
      <c r="I191" s="1277"/>
      <c r="J191" s="1277"/>
      <c r="K191" s="1277"/>
    </row>
    <row r="192" spans="2:11" x14ac:dyDescent="0.25">
      <c r="B192" s="1256"/>
      <c r="C192" s="1257" t="s">
        <v>1260</v>
      </c>
      <c r="D192" s="1257"/>
      <c r="E192" s="1257"/>
      <c r="F192" s="1257"/>
      <c r="G192" s="1258"/>
      <c r="H192" s="1259"/>
      <c r="I192" s="1277"/>
      <c r="J192" s="1277"/>
      <c r="K192" s="1280"/>
    </row>
    <row r="193" spans="2:11" x14ac:dyDescent="0.25">
      <c r="B193" s="1256"/>
      <c r="C193" s="1257" t="s">
        <v>1261</v>
      </c>
      <c r="D193" s="1257"/>
      <c r="E193" s="1257"/>
      <c r="F193" s="1257"/>
      <c r="G193" s="1258"/>
      <c r="H193" s="1259"/>
      <c r="I193" s="1277"/>
      <c r="J193" s="1277"/>
      <c r="K193" s="1277"/>
    </row>
    <row r="194" spans="2:11" x14ac:dyDescent="0.25">
      <c r="B194" s="1256"/>
      <c r="C194" s="1257" t="s">
        <v>1262</v>
      </c>
      <c r="D194" s="1257"/>
      <c r="E194" s="1257"/>
      <c r="F194" s="1257"/>
      <c r="G194" s="1258"/>
      <c r="H194" s="1259"/>
      <c r="I194" s="1277"/>
      <c r="J194" s="1277"/>
      <c r="K194" s="1277"/>
    </row>
    <row r="195" spans="2:11" x14ac:dyDescent="0.25">
      <c r="B195" s="1256"/>
      <c r="C195" s="1281" t="s">
        <v>1235</v>
      </c>
      <c r="D195" s="1257"/>
      <c r="E195" s="1257"/>
      <c r="F195" s="1257"/>
      <c r="G195" s="1258"/>
      <c r="H195" s="1259"/>
      <c r="I195" s="1277"/>
      <c r="J195" s="1277"/>
      <c r="K195" s="1280"/>
    </row>
    <row r="196" spans="2:11" x14ac:dyDescent="0.25">
      <c r="B196" s="1256"/>
      <c r="C196" s="1257" t="s">
        <v>1263</v>
      </c>
      <c r="D196" s="1257"/>
      <c r="E196" s="1257"/>
      <c r="F196" s="1257"/>
      <c r="G196" s="1258"/>
      <c r="H196" s="1259"/>
      <c r="I196" s="1277"/>
      <c r="J196" s="1277"/>
      <c r="K196" s="1280"/>
    </row>
    <row r="197" spans="2:11" x14ac:dyDescent="0.25">
      <c r="B197" s="1256"/>
      <c r="C197" s="1257" t="s">
        <v>1264</v>
      </c>
      <c r="D197" s="1257"/>
      <c r="E197" s="1257"/>
      <c r="F197" s="1257"/>
      <c r="G197" s="1258"/>
      <c r="H197" s="1259"/>
      <c r="I197" s="1277"/>
      <c r="J197" s="1277"/>
      <c r="K197" s="1280"/>
    </row>
    <row r="198" spans="2:11" x14ac:dyDescent="0.25">
      <c r="B198" s="1256"/>
      <c r="C198" s="1257" t="s">
        <v>967</v>
      </c>
      <c r="D198" s="1257"/>
      <c r="E198" s="1257"/>
      <c r="F198" s="1257"/>
      <c r="G198" s="1258"/>
      <c r="H198" s="1259"/>
      <c r="I198" s="1277"/>
      <c r="J198" s="1277"/>
      <c r="K198" s="1277"/>
    </row>
    <row r="199" spans="2:11" x14ac:dyDescent="0.25">
      <c r="B199" s="1256"/>
      <c r="C199" s="1257" t="s">
        <v>1265</v>
      </c>
      <c r="D199" s="1257"/>
      <c r="E199" s="1257"/>
      <c r="F199" s="1257"/>
      <c r="G199" s="1258"/>
      <c r="H199" s="1259"/>
      <c r="I199" s="1277"/>
      <c r="J199" s="1277"/>
      <c r="K199" s="1277"/>
    </row>
    <row r="200" spans="2:11" x14ac:dyDescent="0.25">
      <c r="B200" s="1256"/>
      <c r="C200" s="1257" t="s">
        <v>1266</v>
      </c>
      <c r="D200" s="1257"/>
      <c r="E200" s="1257"/>
      <c r="F200" s="1257"/>
      <c r="G200" s="1258"/>
      <c r="H200" s="1259"/>
      <c r="I200" s="1277"/>
      <c r="J200" s="1277"/>
      <c r="K200" s="1277"/>
    </row>
    <row r="201" spans="2:11" x14ac:dyDescent="0.25">
      <c r="B201" s="1256"/>
      <c r="C201" s="1257" t="s">
        <v>1267</v>
      </c>
      <c r="D201" s="1257"/>
      <c r="E201" s="1257"/>
      <c r="F201" s="1257"/>
      <c r="G201" s="1258"/>
      <c r="H201" s="1259"/>
      <c r="I201" s="1277"/>
      <c r="J201" s="1277"/>
      <c r="K201" s="1277"/>
    </row>
    <row r="202" spans="2:11" x14ac:dyDescent="0.25">
      <c r="B202" s="1256"/>
      <c r="C202" s="1257" t="s">
        <v>1268</v>
      </c>
      <c r="D202" s="1257"/>
      <c r="E202" s="1257"/>
      <c r="F202" s="1257"/>
      <c r="G202" s="1258"/>
      <c r="H202" s="1259"/>
      <c r="I202" s="1277"/>
      <c r="J202" s="1277"/>
      <c r="K202" s="1280"/>
    </row>
    <row r="203" spans="2:11" x14ac:dyDescent="0.25">
      <c r="B203" s="1256"/>
      <c r="C203" s="1257" t="s">
        <v>1269</v>
      </c>
      <c r="D203" s="1257"/>
      <c r="E203" s="1257"/>
      <c r="F203" s="1257"/>
      <c r="G203" s="1258"/>
      <c r="H203" s="1259"/>
      <c r="I203" s="1277"/>
      <c r="J203" s="1277"/>
      <c r="K203" s="1277"/>
    </row>
    <row r="204" spans="2:11" x14ac:dyDescent="0.25">
      <c r="B204" s="1256"/>
      <c r="C204" s="1257" t="s">
        <v>1270</v>
      </c>
      <c r="D204" s="1257"/>
      <c r="E204" s="1257"/>
      <c r="F204" s="1257"/>
      <c r="G204" s="1258"/>
      <c r="H204" s="1259"/>
      <c r="I204" s="1277"/>
      <c r="J204" s="1277"/>
      <c r="K204" s="1277"/>
    </row>
    <row r="205" spans="2:11" x14ac:dyDescent="0.25">
      <c r="B205" s="1256"/>
      <c r="C205" s="1257" t="s">
        <v>1271</v>
      </c>
      <c r="D205" s="1257"/>
      <c r="E205" s="1257"/>
      <c r="F205" s="1257"/>
      <c r="G205" s="1258"/>
      <c r="H205" s="1259"/>
      <c r="I205" s="1277"/>
      <c r="J205" s="1277"/>
      <c r="K205" s="1277"/>
    </row>
    <row r="206" spans="2:11" x14ac:dyDescent="0.25">
      <c r="B206" s="1256"/>
      <c r="C206" s="1257" t="s">
        <v>1272</v>
      </c>
      <c r="D206" s="1257"/>
      <c r="E206" s="1257"/>
      <c r="F206" s="1257"/>
      <c r="G206" s="1258"/>
      <c r="H206" s="1259"/>
      <c r="I206" s="1277"/>
      <c r="J206" s="1277"/>
      <c r="K206" s="1280"/>
    </row>
    <row r="207" spans="2:11" x14ac:dyDescent="0.25">
      <c r="B207" s="1256"/>
      <c r="C207" s="1257" t="s">
        <v>1273</v>
      </c>
      <c r="D207" s="1257"/>
      <c r="E207" s="1257"/>
      <c r="F207" s="1257"/>
      <c r="G207" s="1258"/>
      <c r="H207" s="1259"/>
      <c r="I207" s="1277"/>
      <c r="J207" s="1277"/>
      <c r="K207" s="1280"/>
    </row>
    <row r="208" spans="2:11" x14ac:dyDescent="0.25">
      <c r="B208" s="1256"/>
      <c r="C208" s="1257" t="s">
        <v>1274</v>
      </c>
      <c r="D208" s="1257"/>
      <c r="E208" s="1257"/>
      <c r="F208" s="1257"/>
      <c r="G208" s="1258"/>
      <c r="H208" s="1259"/>
      <c r="I208" s="1277"/>
      <c r="J208" s="1277"/>
      <c r="K208" s="1277"/>
    </row>
    <row r="209" spans="2:11" x14ac:dyDescent="0.25">
      <c r="B209" s="1256"/>
      <c r="C209" s="1257" t="s">
        <v>350</v>
      </c>
      <c r="D209" s="1257"/>
      <c r="E209" s="1257"/>
      <c r="F209" s="1257"/>
      <c r="G209" s="1258"/>
      <c r="H209" s="1259"/>
      <c r="I209" s="1277"/>
      <c r="J209" s="1277"/>
      <c r="K209" s="1277"/>
    </row>
    <row r="210" spans="2:11" x14ac:dyDescent="0.25">
      <c r="B210" s="1256"/>
      <c r="C210" s="1257" t="s">
        <v>1275</v>
      </c>
      <c r="D210" s="1257"/>
      <c r="E210" s="1257"/>
      <c r="F210" s="1257"/>
      <c r="G210" s="1258"/>
      <c r="H210" s="1259"/>
      <c r="I210" s="1277"/>
      <c r="J210" s="1277"/>
      <c r="K210" s="1280"/>
    </row>
    <row r="211" spans="2:11" x14ac:dyDescent="0.25">
      <c r="B211" s="1256"/>
      <c r="C211" s="1257" t="s">
        <v>1276</v>
      </c>
      <c r="D211" s="1257"/>
      <c r="E211" s="1257"/>
      <c r="F211" s="1257"/>
      <c r="G211" s="1258"/>
      <c r="H211" s="1259"/>
      <c r="I211" s="1277"/>
      <c r="J211" s="1277"/>
      <c r="K211" s="1280"/>
    </row>
    <row r="212" spans="2:11" x14ac:dyDescent="0.25">
      <c r="B212" s="1256"/>
      <c r="C212" s="1257" t="s">
        <v>1277</v>
      </c>
      <c r="D212" s="1257"/>
      <c r="E212" s="1257"/>
      <c r="F212" s="1257"/>
      <c r="G212" s="1258"/>
      <c r="H212" s="1259"/>
      <c r="I212" s="1277"/>
      <c r="J212" s="1277"/>
      <c r="K212" s="1280"/>
    </row>
    <row r="213" spans="2:11" x14ac:dyDescent="0.25">
      <c r="B213" s="1256"/>
      <c r="C213" s="1257" t="s">
        <v>1278</v>
      </c>
      <c r="D213" s="1257"/>
      <c r="E213" s="1257"/>
      <c r="F213" s="1257"/>
      <c r="G213" s="1258"/>
      <c r="H213" s="1259"/>
      <c r="I213" s="1277"/>
      <c r="J213" s="1277"/>
      <c r="K213" s="1280"/>
    </row>
    <row r="214" spans="2:11" x14ac:dyDescent="0.25">
      <c r="B214" s="1256"/>
      <c r="C214" s="1257" t="s">
        <v>1279</v>
      </c>
      <c r="D214" s="1257"/>
      <c r="E214" s="1257"/>
      <c r="F214" s="1257"/>
      <c r="G214" s="1258"/>
      <c r="H214" s="1259"/>
      <c r="I214" s="1277"/>
      <c r="J214" s="1277"/>
      <c r="K214" s="1277"/>
    </row>
    <row r="215" spans="2:11" x14ac:dyDescent="0.25">
      <c r="B215" s="1256"/>
      <c r="C215" s="1257" t="s">
        <v>1280</v>
      </c>
      <c r="D215" s="1257"/>
      <c r="E215" s="1257"/>
      <c r="F215" s="1257"/>
      <c r="G215" s="1258"/>
      <c r="H215" s="1259"/>
      <c r="I215" s="1277"/>
      <c r="J215" s="1277"/>
      <c r="K215" s="1280"/>
    </row>
    <row r="216" spans="2:11" x14ac:dyDescent="0.25">
      <c r="B216" s="1256"/>
      <c r="C216" s="1257" t="s">
        <v>1281</v>
      </c>
      <c r="D216" s="1257"/>
      <c r="E216" s="1257"/>
      <c r="F216" s="1257"/>
      <c r="G216" s="1258"/>
      <c r="H216" s="1259"/>
      <c r="I216" s="1277"/>
      <c r="J216" s="1277"/>
      <c r="K216" s="1280"/>
    </row>
    <row r="217" spans="2:11" x14ac:dyDescent="0.25">
      <c r="B217" s="1256"/>
      <c r="C217" s="1257" t="s">
        <v>1282</v>
      </c>
      <c r="D217" s="1257"/>
      <c r="E217" s="1257"/>
      <c r="F217" s="1257"/>
      <c r="G217" s="1258"/>
      <c r="H217" s="1259"/>
      <c r="I217" s="1277"/>
      <c r="J217" s="1277"/>
      <c r="K217" s="1277"/>
    </row>
    <row r="218" spans="2:11" x14ac:dyDescent="0.25">
      <c r="B218" s="1256"/>
      <c r="C218" s="1257" t="s">
        <v>1283</v>
      </c>
      <c r="D218" s="1257"/>
      <c r="E218" s="1257"/>
      <c r="F218" s="1257"/>
      <c r="G218" s="1258"/>
      <c r="H218" s="1259"/>
      <c r="I218" s="1277"/>
      <c r="J218" s="1277"/>
      <c r="K218" s="1277"/>
    </row>
    <row r="219" spans="2:11" x14ac:dyDescent="0.25">
      <c r="B219" s="1256"/>
      <c r="C219" s="1257" t="s">
        <v>1284</v>
      </c>
      <c r="D219" s="1257"/>
      <c r="E219" s="1257"/>
      <c r="F219" s="1257"/>
      <c r="G219" s="1258"/>
      <c r="H219" s="1259"/>
      <c r="I219" s="1277"/>
      <c r="J219" s="1277"/>
      <c r="K219" s="1280"/>
    </row>
    <row r="220" spans="2:11" x14ac:dyDescent="0.25">
      <c r="B220" s="1256"/>
      <c r="C220" s="1257" t="s">
        <v>1285</v>
      </c>
      <c r="D220" s="1257"/>
      <c r="E220" s="1257"/>
      <c r="F220" s="1257"/>
      <c r="G220" s="1258"/>
      <c r="H220" s="1259"/>
      <c r="I220" s="1277"/>
      <c r="J220" s="1277"/>
      <c r="K220" s="1280"/>
    </row>
    <row r="221" spans="2:11" x14ac:dyDescent="0.25">
      <c r="B221" s="1256"/>
      <c r="C221" s="1257" t="s">
        <v>1286</v>
      </c>
      <c r="D221" s="1257"/>
      <c r="E221" s="1257"/>
      <c r="F221" s="1257"/>
      <c r="G221" s="1258"/>
      <c r="H221" s="1259"/>
      <c r="I221" s="1277"/>
      <c r="J221" s="1277"/>
      <c r="K221" s="1280"/>
    </row>
    <row r="222" spans="2:11" x14ac:dyDescent="0.25">
      <c r="B222" s="1256"/>
      <c r="C222" s="1257" t="s">
        <v>1287</v>
      </c>
      <c r="D222" s="1257"/>
      <c r="E222" s="1257"/>
      <c r="F222" s="1257"/>
      <c r="G222" s="1258"/>
      <c r="H222" s="1259"/>
      <c r="I222" s="1277"/>
      <c r="J222" s="1277"/>
      <c r="K222" s="1277"/>
    </row>
    <row r="223" spans="2:11" x14ac:dyDescent="0.25">
      <c r="B223" s="1256"/>
      <c r="C223" s="1257" t="s">
        <v>1288</v>
      </c>
      <c r="D223" s="1257"/>
      <c r="E223" s="1257"/>
      <c r="F223" s="1257"/>
      <c r="G223" s="1258"/>
      <c r="H223" s="1259"/>
      <c r="I223" s="1277"/>
      <c r="J223" s="1277"/>
      <c r="K223" s="1280"/>
    </row>
    <row r="224" spans="2:11" x14ac:dyDescent="0.25">
      <c r="B224" s="1256"/>
      <c r="C224" s="1257" t="s">
        <v>1289</v>
      </c>
      <c r="D224" s="1257"/>
      <c r="E224" s="1257"/>
      <c r="F224" s="1257"/>
      <c r="G224" s="1258"/>
      <c r="H224" s="1259"/>
      <c r="I224" s="1277"/>
      <c r="J224" s="1277"/>
      <c r="K224" s="1280"/>
    </row>
    <row r="225" spans="2:11" x14ac:dyDescent="0.25">
      <c r="B225" s="1256"/>
      <c r="C225" s="1257" t="s">
        <v>548</v>
      </c>
      <c r="D225" s="1257"/>
      <c r="E225" s="1257"/>
      <c r="F225" s="1257"/>
      <c r="G225" s="1258"/>
      <c r="H225" s="1259"/>
      <c r="I225" s="1277"/>
      <c r="J225" s="1277"/>
      <c r="K225" s="1280"/>
    </row>
    <row r="226" spans="2:11" x14ac:dyDescent="0.25">
      <c r="B226" s="1256"/>
      <c r="C226" s="1257" t="s">
        <v>1290</v>
      </c>
      <c r="D226" s="1257"/>
      <c r="E226" s="1257"/>
      <c r="F226" s="1257"/>
      <c r="G226" s="1258"/>
      <c r="H226" s="1259"/>
    </row>
    <row r="227" spans="2:11" x14ac:dyDescent="0.25">
      <c r="B227" s="1256"/>
      <c r="C227" s="1257" t="s">
        <v>1291</v>
      </c>
      <c r="D227" s="1257"/>
      <c r="E227" s="1257"/>
      <c r="F227" s="1257"/>
      <c r="G227" s="1258"/>
      <c r="H227" s="1259"/>
    </row>
    <row r="228" spans="2:11" x14ac:dyDescent="0.25">
      <c r="B228" s="1256"/>
      <c r="C228" s="1257" t="s">
        <v>1292</v>
      </c>
      <c r="D228" s="1257"/>
      <c r="E228" s="1257"/>
      <c r="F228" s="1257"/>
      <c r="G228" s="1258"/>
      <c r="H228" s="1259"/>
    </row>
    <row r="229" spans="2:11" x14ac:dyDescent="0.25">
      <c r="B229" s="1256"/>
      <c r="C229" s="1257" t="s">
        <v>1293</v>
      </c>
      <c r="D229" s="1257"/>
      <c r="E229" s="1257"/>
      <c r="F229" s="1257"/>
      <c r="G229" s="1258"/>
      <c r="H229" s="1259"/>
    </row>
    <row r="230" spans="2:11" x14ac:dyDescent="0.25">
      <c r="B230" s="1256"/>
      <c r="C230" s="1257"/>
      <c r="D230" s="1257"/>
      <c r="E230" s="1257"/>
      <c r="F230" s="1257"/>
      <c r="G230" s="1258"/>
      <c r="H230" s="1259"/>
    </row>
    <row r="231" spans="2:11" x14ac:dyDescent="0.25">
      <c r="B231" s="1256"/>
      <c r="C231" s="1257"/>
      <c r="D231" s="1257"/>
      <c r="E231" s="1257"/>
      <c r="F231" s="1257"/>
      <c r="G231" s="1258"/>
      <c r="H231" s="1259"/>
    </row>
    <row r="232" spans="2:11" ht="15.75" thickBot="1" x14ac:dyDescent="0.3">
      <c r="B232" s="1282"/>
      <c r="C232" s="1283"/>
      <c r="D232" s="1283"/>
      <c r="E232" s="1283"/>
      <c r="F232" s="1283"/>
      <c r="G232" s="1284"/>
      <c r="H232" s="1285"/>
    </row>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5" hidden="1" x14ac:dyDescent="0.25"/>
    <row r="496" hidden="1" x14ac:dyDescent="0.25"/>
    <row r="497" hidden="1" x14ac:dyDescent="0.25"/>
    <row r="499" hidden="1" x14ac:dyDescent="0.25"/>
    <row r="500" hidden="1" x14ac:dyDescent="0.25"/>
    <row r="502" hidden="1" x14ac:dyDescent="0.25"/>
    <row r="503" hidden="1" x14ac:dyDescent="0.25"/>
    <row r="504" hidden="1" x14ac:dyDescent="0.25"/>
    <row r="505" hidden="1" x14ac:dyDescent="0.25"/>
    <row r="506" hidden="1" x14ac:dyDescent="0.25"/>
    <row r="507" hidden="1" x14ac:dyDescent="0.25"/>
    <row r="508" hidden="1" x14ac:dyDescent="0.25"/>
    <row r="510" hidden="1" x14ac:dyDescent="0.25"/>
    <row r="511" hidden="1" x14ac:dyDescent="0.25"/>
    <row r="513" spans="1:2" ht="23.25" hidden="1" x14ac:dyDescent="0.35">
      <c r="A513" s="1286" t="s">
        <v>1294</v>
      </c>
      <c r="B513" s="1287" t="s">
        <v>1295</v>
      </c>
    </row>
    <row r="514" spans="1:2" hidden="1" x14ac:dyDescent="0.25">
      <c r="B514" s="1086" t="s">
        <v>1296</v>
      </c>
    </row>
    <row r="515" spans="1:2" x14ac:dyDescent="0.25">
      <c r="B515" s="1086" t="s">
        <v>1243</v>
      </c>
    </row>
    <row r="516" spans="1:2" x14ac:dyDescent="0.25">
      <c r="B516" s="1086" t="s">
        <v>331</v>
      </c>
    </row>
    <row r="517" spans="1:2" x14ac:dyDescent="0.25">
      <c r="B517" s="1086" t="s">
        <v>1244</v>
      </c>
    </row>
    <row r="518" spans="1:2" x14ac:dyDescent="0.25">
      <c r="B518" s="1086" t="s">
        <v>1245</v>
      </c>
    </row>
    <row r="519" spans="1:2" x14ac:dyDescent="0.25">
      <c r="B519" s="1086" t="s">
        <v>1246</v>
      </c>
    </row>
    <row r="520" spans="1:2" x14ac:dyDescent="0.25">
      <c r="B520" s="1086" t="s">
        <v>1247</v>
      </c>
    </row>
    <row r="521" spans="1:2" x14ac:dyDescent="0.25">
      <c r="B521" s="1086" t="s">
        <v>1248</v>
      </c>
    </row>
    <row r="522" spans="1:2" x14ac:dyDescent="0.25">
      <c r="B522" s="1086" t="s">
        <v>316</v>
      </c>
    </row>
    <row r="523" spans="1:2" x14ac:dyDescent="0.25">
      <c r="A523" s="1086">
        <v>1</v>
      </c>
      <c r="B523" s="1086" t="s">
        <v>307</v>
      </c>
    </row>
    <row r="524" spans="1:2" x14ac:dyDescent="0.25">
      <c r="B524" s="1086" t="s">
        <v>1249</v>
      </c>
    </row>
    <row r="525" spans="1:2" x14ac:dyDescent="0.25">
      <c r="B525" s="1086" t="s">
        <v>1250</v>
      </c>
    </row>
    <row r="526" spans="1:2" x14ac:dyDescent="0.25">
      <c r="B526" s="1086" t="s">
        <v>1241</v>
      </c>
    </row>
    <row r="527" spans="1:2" x14ac:dyDescent="0.25">
      <c r="A527" s="1086">
        <v>1</v>
      </c>
      <c r="B527" s="1086" t="s">
        <v>972</v>
      </c>
    </row>
    <row r="528" spans="1:2" x14ac:dyDescent="0.25">
      <c r="B528" s="1086" t="s">
        <v>1240</v>
      </c>
    </row>
    <row r="529" spans="1:2" x14ac:dyDescent="0.25">
      <c r="B529" s="1086" t="s">
        <v>958</v>
      </c>
    </row>
    <row r="530" spans="1:2" x14ac:dyDescent="0.25">
      <c r="A530" s="1086">
        <v>1</v>
      </c>
      <c r="B530" s="1086" t="s">
        <v>1233</v>
      </c>
    </row>
    <row r="531" spans="1:2" x14ac:dyDescent="0.25">
      <c r="B531" s="1086" t="s">
        <v>1251</v>
      </c>
    </row>
    <row r="532" spans="1:2" x14ac:dyDescent="0.25">
      <c r="B532" s="1086" t="s">
        <v>333</v>
      </c>
    </row>
    <row r="533" spans="1:2" x14ac:dyDescent="0.25">
      <c r="B533" s="1086" t="s">
        <v>1100</v>
      </c>
    </row>
    <row r="534" spans="1:2" x14ac:dyDescent="0.25">
      <c r="B534" s="1086" t="s">
        <v>1253</v>
      </c>
    </row>
    <row r="535" spans="1:2" x14ac:dyDescent="0.25">
      <c r="B535" s="1086" t="s">
        <v>1254</v>
      </c>
    </row>
    <row r="536" spans="1:2" x14ac:dyDescent="0.25">
      <c r="B536" s="1086" t="s">
        <v>1255</v>
      </c>
    </row>
    <row r="537" spans="1:2" x14ac:dyDescent="0.25">
      <c r="B537" s="1086" t="s">
        <v>1256</v>
      </c>
    </row>
    <row r="538" spans="1:2" x14ac:dyDescent="0.25">
      <c r="A538" s="1086">
        <v>1</v>
      </c>
      <c r="B538" s="1086" t="s">
        <v>338</v>
      </c>
    </row>
    <row r="539" spans="1:2" x14ac:dyDescent="0.25">
      <c r="B539" s="1086" t="s">
        <v>1257</v>
      </c>
    </row>
    <row r="540" spans="1:2" x14ac:dyDescent="0.25">
      <c r="B540" s="1086" t="s">
        <v>1258</v>
      </c>
    </row>
    <row r="541" spans="1:2" x14ac:dyDescent="0.25">
      <c r="A541" s="1086">
        <v>1</v>
      </c>
      <c r="B541" s="1086" t="s">
        <v>1297</v>
      </c>
    </row>
    <row r="542" spans="1:2" x14ac:dyDescent="0.25">
      <c r="B542" s="1086" t="s">
        <v>1259</v>
      </c>
    </row>
    <row r="543" spans="1:2" x14ac:dyDescent="0.25">
      <c r="B543" s="1086" t="s">
        <v>1260</v>
      </c>
    </row>
    <row r="544" spans="1:2" x14ac:dyDescent="0.25">
      <c r="B544" s="1086" t="s">
        <v>1261</v>
      </c>
    </row>
    <row r="545" spans="1:2" x14ac:dyDescent="0.25">
      <c r="B545" s="1086" t="s">
        <v>1262</v>
      </c>
    </row>
    <row r="546" spans="1:2" x14ac:dyDescent="0.25">
      <c r="A546" s="1086">
        <v>1</v>
      </c>
      <c r="B546" s="1086" t="s">
        <v>976</v>
      </c>
    </row>
    <row r="547" spans="1:2" x14ac:dyDescent="0.25">
      <c r="B547" s="1086" t="s">
        <v>1263</v>
      </c>
    </row>
    <row r="548" spans="1:2" x14ac:dyDescent="0.25">
      <c r="B548" s="1086" t="s">
        <v>1264</v>
      </c>
    </row>
    <row r="549" spans="1:2" x14ac:dyDescent="0.25">
      <c r="B549" s="1086" t="s">
        <v>967</v>
      </c>
    </row>
    <row r="550" spans="1:2" x14ac:dyDescent="0.25">
      <c r="A550" s="1086">
        <v>1</v>
      </c>
      <c r="B550" s="1086" t="s">
        <v>1298</v>
      </c>
    </row>
    <row r="551" spans="1:2" x14ac:dyDescent="0.25">
      <c r="B551" s="1086" t="s">
        <v>1265</v>
      </c>
    </row>
    <row r="552" spans="1:2" x14ac:dyDescent="0.25">
      <c r="B552" s="1086" t="s">
        <v>1266</v>
      </c>
    </row>
    <row r="553" spans="1:2" x14ac:dyDescent="0.25">
      <c r="B553" s="1086" t="s">
        <v>1267</v>
      </c>
    </row>
    <row r="554" spans="1:2" x14ac:dyDescent="0.25">
      <c r="B554" s="1086" t="s">
        <v>1268</v>
      </c>
    </row>
    <row r="555" spans="1:2" x14ac:dyDescent="0.25">
      <c r="B555" s="1086" t="s">
        <v>1269</v>
      </c>
    </row>
    <row r="556" spans="1:2" x14ac:dyDescent="0.25">
      <c r="B556" s="1086" t="s">
        <v>1270</v>
      </c>
    </row>
    <row r="557" spans="1:2" x14ac:dyDescent="0.25">
      <c r="B557" s="1086" t="s">
        <v>1271</v>
      </c>
    </row>
    <row r="558" spans="1:2" x14ac:dyDescent="0.25">
      <c r="B558" s="1086" t="s">
        <v>1272</v>
      </c>
    </row>
    <row r="559" spans="1:2" x14ac:dyDescent="0.25">
      <c r="B559" s="1086" t="s">
        <v>1273</v>
      </c>
    </row>
    <row r="560" spans="1:2" x14ac:dyDescent="0.25">
      <c r="A560" s="1086">
        <v>1</v>
      </c>
      <c r="B560" s="1086" t="s">
        <v>1299</v>
      </c>
    </row>
    <row r="561" spans="1:2" x14ac:dyDescent="0.25">
      <c r="B561" s="1086" t="s">
        <v>1274</v>
      </c>
    </row>
    <row r="562" spans="1:2" x14ac:dyDescent="0.25">
      <c r="B562" s="1086" t="s">
        <v>350</v>
      </c>
    </row>
    <row r="563" spans="1:2" x14ac:dyDescent="0.25">
      <c r="B563" s="1086" t="s">
        <v>1275</v>
      </c>
    </row>
    <row r="564" spans="1:2" x14ac:dyDescent="0.25">
      <c r="A564" s="1086">
        <v>1</v>
      </c>
      <c r="B564" s="1086" t="s">
        <v>1300</v>
      </c>
    </row>
    <row r="565" spans="1:2" x14ac:dyDescent="0.25">
      <c r="B565" s="1086" t="s">
        <v>1276</v>
      </c>
    </row>
    <row r="566" spans="1:2" x14ac:dyDescent="0.25">
      <c r="B566" s="1086" t="s">
        <v>1277</v>
      </c>
    </row>
    <row r="567" spans="1:2" x14ac:dyDescent="0.25">
      <c r="B567" s="1086" t="s">
        <v>1278</v>
      </c>
    </row>
    <row r="568" spans="1:2" x14ac:dyDescent="0.25">
      <c r="B568" s="1086" t="s">
        <v>1279</v>
      </c>
    </row>
    <row r="569" spans="1:2" x14ac:dyDescent="0.25">
      <c r="A569" s="1086">
        <v>1</v>
      </c>
      <c r="B569" s="1086" t="s">
        <v>1301</v>
      </c>
    </row>
    <row r="570" spans="1:2" x14ac:dyDescent="0.25">
      <c r="B570" s="1086" t="s">
        <v>1280</v>
      </c>
    </row>
    <row r="571" spans="1:2" x14ac:dyDescent="0.25">
      <c r="B571" s="1086" t="s">
        <v>1281</v>
      </c>
    </row>
    <row r="572" spans="1:2" x14ac:dyDescent="0.25">
      <c r="A572" s="1086">
        <v>1</v>
      </c>
      <c r="B572" s="1086" t="s">
        <v>1302</v>
      </c>
    </row>
    <row r="573" spans="1:2" x14ac:dyDescent="0.25">
      <c r="B573" s="1086" t="s">
        <v>1282</v>
      </c>
    </row>
    <row r="574" spans="1:2" x14ac:dyDescent="0.25">
      <c r="A574" s="1086">
        <v>1</v>
      </c>
      <c r="B574" s="1086" t="s">
        <v>1303</v>
      </c>
    </row>
    <row r="575" spans="1:2" x14ac:dyDescent="0.25">
      <c r="A575" s="1086">
        <v>1</v>
      </c>
      <c r="B575" s="1086" t="s">
        <v>345</v>
      </c>
    </row>
    <row r="576" spans="1:2" x14ac:dyDescent="0.25">
      <c r="B576" s="1086" t="s">
        <v>1283</v>
      </c>
    </row>
    <row r="577" spans="1:2" x14ac:dyDescent="0.25">
      <c r="B577" s="1086" t="s">
        <v>1284</v>
      </c>
    </row>
    <row r="578" spans="1:2" x14ac:dyDescent="0.25">
      <c r="A578" s="1086">
        <v>1</v>
      </c>
      <c r="B578" s="1086" t="s">
        <v>1304</v>
      </c>
    </row>
    <row r="579" spans="1:2" x14ac:dyDescent="0.25">
      <c r="B579" s="1086" t="s">
        <v>1285</v>
      </c>
    </row>
    <row r="580" spans="1:2" x14ac:dyDescent="0.25">
      <c r="B580" s="1086" t="s">
        <v>1286</v>
      </c>
    </row>
    <row r="581" spans="1:2" x14ac:dyDescent="0.25">
      <c r="B581" s="1086" t="s">
        <v>1287</v>
      </c>
    </row>
    <row r="582" spans="1:2" x14ac:dyDescent="0.25">
      <c r="B582" s="1086" t="s">
        <v>1288</v>
      </c>
    </row>
    <row r="583" spans="1:2" x14ac:dyDescent="0.25">
      <c r="A583" s="1086">
        <v>1</v>
      </c>
      <c r="B583" s="1086" t="s">
        <v>1305</v>
      </c>
    </row>
    <row r="584" spans="1:2" x14ac:dyDescent="0.25">
      <c r="A584" s="1086">
        <v>1</v>
      </c>
      <c r="B584" s="1086" t="s">
        <v>1289</v>
      </c>
    </row>
    <row r="585" spans="1:2" x14ac:dyDescent="0.25">
      <c r="B585" s="1086" t="s">
        <v>548</v>
      </c>
    </row>
    <row r="586" spans="1:2" x14ac:dyDescent="0.25">
      <c r="B586" s="1086" t="s">
        <v>1290</v>
      </c>
    </row>
    <row r="587" spans="1:2" x14ac:dyDescent="0.25">
      <c r="A587" s="1086">
        <v>1</v>
      </c>
      <c r="B587" s="1086" t="s">
        <v>315</v>
      </c>
    </row>
    <row r="588" spans="1:2" x14ac:dyDescent="0.25">
      <c r="B588" s="1086" t="s">
        <v>1291</v>
      </c>
    </row>
    <row r="589" spans="1:2" x14ac:dyDescent="0.25">
      <c r="B589" s="1086" t="s">
        <v>1292</v>
      </c>
    </row>
    <row r="590" spans="1:2" x14ac:dyDescent="0.25">
      <c r="B590" s="1086" t="s">
        <v>1293</v>
      </c>
    </row>
  </sheetData>
  <protectedRanges>
    <protectedRange password="DAE1" sqref="C95:G170" name="Range2"/>
    <protectedRange sqref="B6:E6 J5 C9 C11:L16 C19 E19 G19 C25 H25 C27:H32 L25 B41:G46 J41:J46 L38" name="Calculators"/>
  </protectedRanges>
  <mergeCells count="61">
    <mergeCell ref="F10:G10"/>
    <mergeCell ref="B2:C3"/>
    <mergeCell ref="D2:G3"/>
    <mergeCell ref="H2:L3"/>
    <mergeCell ref="B4:C5"/>
    <mergeCell ref="D4:D5"/>
    <mergeCell ref="E4:E5"/>
    <mergeCell ref="F4:G4"/>
    <mergeCell ref="H4:I4"/>
    <mergeCell ref="J4:K4"/>
    <mergeCell ref="L4:L5"/>
    <mergeCell ref="J5:K5"/>
    <mergeCell ref="B6:C6"/>
    <mergeCell ref="J6:K6"/>
    <mergeCell ref="B7:L7"/>
    <mergeCell ref="C9:D9"/>
    <mergeCell ref="C25:D25"/>
    <mergeCell ref="I25:J26"/>
    <mergeCell ref="D26:E26"/>
    <mergeCell ref="F11:G11"/>
    <mergeCell ref="F12:G12"/>
    <mergeCell ref="F13:G13"/>
    <mergeCell ref="F14:G14"/>
    <mergeCell ref="F15:G15"/>
    <mergeCell ref="F16:G16"/>
    <mergeCell ref="B17:C17"/>
    <mergeCell ref="B18:L18"/>
    <mergeCell ref="B20:L23"/>
    <mergeCell ref="B24:J24"/>
    <mergeCell ref="K24:L24"/>
    <mergeCell ref="D27:E27"/>
    <mergeCell ref="I27:J27"/>
    <mergeCell ref="D28:E28"/>
    <mergeCell ref="I28:J28"/>
    <mergeCell ref="D29:E29"/>
    <mergeCell ref="I29:J29"/>
    <mergeCell ref="D30:E30"/>
    <mergeCell ref="I30:J30"/>
    <mergeCell ref="D31:E31"/>
    <mergeCell ref="I31:J31"/>
    <mergeCell ref="D32:E32"/>
    <mergeCell ref="I32:J32"/>
    <mergeCell ref="B45:C45"/>
    <mergeCell ref="B46:C46"/>
    <mergeCell ref="I33:J33"/>
    <mergeCell ref="G34:H34"/>
    <mergeCell ref="I34:J34"/>
    <mergeCell ref="I38:K38"/>
    <mergeCell ref="F39:G39"/>
    <mergeCell ref="H39:I39"/>
    <mergeCell ref="J39:K39"/>
    <mergeCell ref="B40:C40"/>
    <mergeCell ref="B41:C41"/>
    <mergeCell ref="B42:C42"/>
    <mergeCell ref="B43:C43"/>
    <mergeCell ref="B44:C44"/>
    <mergeCell ref="M47:N47"/>
    <mergeCell ref="P47:Q47"/>
    <mergeCell ref="G55:H55"/>
    <mergeCell ref="G63:H63"/>
    <mergeCell ref="L39:L40"/>
  </mergeCells>
  <conditionalFormatting sqref="H41:H46">
    <cfRule type="top10" dxfId="40" priority="9" bottom="1" rank="1"/>
  </conditionalFormatting>
  <conditionalFormatting sqref="I41:I46">
    <cfRule type="top10" dxfId="39" priority="8" bottom="1" rank="1"/>
  </conditionalFormatting>
  <conditionalFormatting sqref="L41:L46">
    <cfRule type="top10" dxfId="38" priority="7" bottom="1" rank="1"/>
  </conditionalFormatting>
  <conditionalFormatting sqref="K41:K46">
    <cfRule type="top10" dxfId="37" priority="6" bottom="1" rank="1"/>
  </conditionalFormatting>
  <conditionalFormatting sqref="H6">
    <cfRule type="cellIs" dxfId="36" priority="3" operator="greaterThan">
      <formula>0.51</formula>
    </cfRule>
    <cfRule type="cellIs" dxfId="35" priority="4" operator="greaterThan">
      <formula>51</formula>
    </cfRule>
    <cfRule type="cellIs" dxfId="34" priority="5" operator="greaterThan">
      <formula>0.75</formula>
    </cfRule>
  </conditionalFormatting>
  <conditionalFormatting sqref="L6">
    <cfRule type="cellIs" dxfId="33" priority="2" operator="lessThan">
      <formula>0</formula>
    </cfRule>
  </conditionalFormatting>
  <conditionalFormatting sqref="I34:J34">
    <cfRule type="cellIs" dxfId="32" priority="1" operator="lessThan">
      <formula>0</formula>
    </cfRule>
  </conditionalFormatting>
  <dataValidations count="26">
    <dataValidation type="whole" showInputMessage="1" showErrorMessage="1" sqref="L38">
      <formula1>MAX(E41:E46)</formula1>
      <formula2>40</formula2>
    </dataValidation>
    <dataValidation type="whole" allowBlank="1" showInputMessage="1" showErrorMessage="1" sqref="E41:E46">
      <formula1>1</formula1>
      <formula2>30</formula2>
    </dataValidation>
    <dataValidation type="whole" allowBlank="1" showInputMessage="1" showErrorMessage="1" errorTitle="Comparison year invalid" error="Please encode a comparison year number equal to or  greater than the remaining number of years of the Current loan's fixed period." promptTitle="Encode [N]" prompt="[N] is the number of years that will be the period of years where the Current and proposed loans will be compared at, calculating the fixed years for the lenght of the remaining fixed years of the current and the variable years at the balance Fixed+SVR=N" sqref="L25">
      <formula1>MAX(O11:O16)</formula1>
      <formula2>40</formula2>
    </dataValidation>
    <dataValidation type="whole" operator="greaterThanOrEqual" allowBlank="1" showInputMessage="1" showErrorMessage="1" errorTitle="Fixed Period Invalid" error="Fixed Period must be a whole number and must be equal to 0 if not fixed or more than 0" sqref="G28:G32">
      <formula1>0</formula1>
    </dataValidation>
    <dataValidation allowBlank="1" showInputMessage="1" showErrorMessage="1" promptTitle="Encode Client Names" prompt="Encode Client names Here" sqref="D2:G3"/>
    <dataValidation type="list" allowBlank="1" showInputMessage="1" showErrorMessage="1" promptTitle="Select Lender" prompt="Select Current loan's Lender. This is for the calculation of commissions and Clawback only. If your desired lender is not on the list, you should consult the Vow Commissions table for your  lender's policy and calculate manually." sqref="B6:C6">
      <formula1>$G$172:$G$191</formula1>
    </dataValidation>
    <dataValidation allowBlank="1" showInputMessage="1" showErrorMessage="1" promptTitle="Encode the Funding date" prompt="Encode the funding date of the current loan in order for the clawback calculator to compute possible clawback" sqref="D6"/>
    <dataValidation allowBlank="1" showInputMessage="1" showErrorMessage="1" promptTitle="Encode expected discharge date" prompt="Encode the expected discharge date for the current loan in order for the clawback calculator to compute possible clawback" sqref="E6"/>
    <dataValidation type="list" allowBlank="1" showInputMessage="1" showErrorMessage="1" promptTitle="Select Lender below" prompt="Select a lender below to calculate possible commissions when refinancing to it. Be sure to note in the table below (2. Proposed loan ) the amounts for the loan/splits. If your desired lender is not available, please consult the Vow Commissions table." sqref="J5:K5">
      <formula1>$G$172:$G$191</formula1>
    </dataValidation>
    <dataValidation allowBlank="1" showInputMessage="1" showErrorMessage="1" promptTitle="Type in Current Lender" prompt="Type in the Current/Incumbent Lender " sqref="C9:D9"/>
    <dataValidation allowBlank="1" showInputMessage="1" showErrorMessage="1" promptTitle="Type in the Account Number" prompt="This will be useful as reference information" sqref="C10"/>
    <dataValidation allowBlank="1" showInputMessage="1" showErrorMessage="1" promptTitle="Type in the loan amount" prompt="This would be the loan amount when the loan was applied. This information can be obtained from the loan offer/documents" sqref="D10"/>
    <dataValidation allowBlank="1" showInputMessage="1" showErrorMessage="1" promptTitle="Type in the loan balance" prompt="Type in the current loan's balance. This can be obtained by calling the lender" sqref="E10"/>
    <dataValidation allowBlank="1" showInputMessage="1" showErrorMessage="1" promptTitle="Type in the loan product" prompt="This would be helpful as reference" sqref="F10:G10"/>
    <dataValidation allowBlank="1" showInputMessage="1" showErrorMessage="1" promptTitle="Enter the Fixed Interest Rate" prompt="Enter the interest rate here if the split/loan is on a fixed interest rate period. " sqref="H10"/>
    <dataValidation allowBlank="1" showInputMessage="1" showErrorMessage="1" promptTitle="Enter the Variable interest rate" prompt="Enter the Variable interest rate if the loan/split is on a variable rate. " sqref="I10"/>
    <dataValidation allowBlank="1" showInputMessage="1" showErrorMessage="1" promptTitle="Encode the Fixed expiry date" prompt="Encode the fixed rate expiry date if the loan/split has a fixed interest rate period. " sqref="J10"/>
    <dataValidation allowBlank="1" showInputMessage="1" showErrorMessage="1" promptTitle="Encode Interest Only Expiry Date" prompt="If the loan/split has an Interest Only period, encode the expiry date here. " sqref="K10"/>
    <dataValidation allowBlank="1" showInputMessage="1" showErrorMessage="1" promptTitle="Encode the loan's release fees" prompt="Encode or discharge or release fees for the loan. (Break costs, discharge settlement fees, etc.)" sqref="L10"/>
    <dataValidation allowBlank="1" showInputMessage="1" showErrorMessage="1" promptTitle="Enter the Proposed Lender's Name" sqref="C25:D25"/>
    <dataValidation allowBlank="1" showInputMessage="1" showErrorMessage="1" promptTitle="Encode the Proposed Loan Amount" prompt="Encode the proposed loan/split amount here" sqref="C27"/>
    <dataValidation allowBlank="1" showInputMessage="1" showErrorMessage="1" promptTitle="Encode the Proposed Product" prompt="This will serve as a reference on the proposed product." sqref="D27:E27"/>
    <dataValidation allowBlank="1" showInputMessage="1" showErrorMessage="1" promptTitle="Encode Proposed Loan Fees" prompt="Encode here the proposed loan fees that will be added to the loan. (Annual Fees, package fees, upfront fees, total fees, etc.)" sqref="F27"/>
    <dataValidation type="whole" operator="greaterThanOrEqual" allowBlank="1" showInputMessage="1" showErrorMessage="1" errorTitle="Fixed Period Invalid" error="Fixed Period must be a whole number and must be equal to 0 if not fixed or more than 0" promptTitle="Encode the Fixed Rate Period" prompt="Encode the fixed rate period here. Allowed would be from 0, onwards depending on how long the loan/split's interest is to be fixed. Use 0 if the loan is not to be fixed or Variable" sqref="G27">
      <formula1>0</formula1>
    </dataValidation>
    <dataValidation allowBlank="1" showInputMessage="1" showErrorMessage="1" promptTitle="Encode proposed Interest Rate" prompt="Encode the proposed Interest rate here for the loan/split, either fixed or variable. Be sure to encode the proposed lender's variable rate above as this will be used for when calculating the interest after the fixed rate period has expired." sqref="H27"/>
    <dataValidation allowBlank="1" showInputMessage="1" showErrorMessage="1" promptTitle="Encode Variable rate" prompt="Be sure to encode the proposed lender's variable rate as this will be used for when calculating the interest after the fixed rate period has expired." sqref="H25"/>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CG34"/>
  <sheetViews>
    <sheetView showGridLines="0" showRuler="0" topLeftCell="A4" zoomScaleNormal="100" workbookViewId="0">
      <selection activeCell="A12" sqref="A12:P12"/>
    </sheetView>
  </sheetViews>
  <sheetFormatPr defaultColWidth="3.5703125" defaultRowHeight="18.75" customHeight="1" x14ac:dyDescent="0.25"/>
  <cols>
    <col min="1" max="1" width="3.5703125" style="21" customWidth="1"/>
    <col min="2" max="11" width="3.5703125" style="21"/>
    <col min="12" max="12" width="4.28515625" style="21" bestFit="1" customWidth="1"/>
    <col min="13" max="15" width="3.5703125" style="21"/>
    <col min="16" max="16" width="3.5703125" style="23"/>
    <col min="17" max="21" width="3.5703125" style="21"/>
    <col min="22" max="22" width="3.5703125" style="21" customWidth="1"/>
    <col min="23" max="26" width="3.5703125" style="21"/>
    <col min="27" max="28" width="3.5703125" style="21" customWidth="1"/>
    <col min="29" max="30" width="10.5703125" style="172" customWidth="1"/>
    <col min="31" max="39" width="3.5703125" style="172" customWidth="1"/>
    <col min="40" max="40" width="8.5703125" style="172" customWidth="1"/>
    <col min="41" max="41" width="11.28515625" style="172" customWidth="1"/>
    <col min="42" max="42" width="3.5703125" style="172" customWidth="1"/>
    <col min="43" max="45" width="8.5703125" style="172" customWidth="1"/>
    <col min="46" max="46" width="3.5703125" style="173" customWidth="1"/>
    <col min="47" max="78" width="3.5703125" style="129"/>
    <col min="79" max="79" width="10.5703125" style="129" bestFit="1" customWidth="1"/>
    <col min="80" max="80" width="3.5703125" style="129"/>
    <col min="81" max="81" width="12" style="129" bestFit="1" customWidth="1"/>
    <col min="82" max="85" width="3.5703125" style="129"/>
    <col min="86" max="16384" width="3.5703125" style="21"/>
  </cols>
  <sheetData>
    <row r="1" spans="1:85" ht="48" customHeight="1" x14ac:dyDescent="0.25">
      <c r="A1" s="1856" t="s">
        <v>753</v>
      </c>
      <c r="B1" s="1856"/>
      <c r="C1" s="1856"/>
      <c r="D1" s="1856"/>
      <c r="E1" s="1856"/>
      <c r="F1" s="1856"/>
      <c r="G1" s="1856"/>
      <c r="H1" s="1856"/>
      <c r="I1" s="1856"/>
      <c r="J1" s="1856"/>
      <c r="K1" s="1856"/>
      <c r="L1" s="1856"/>
      <c r="M1" s="1856"/>
      <c r="N1" s="1856"/>
      <c r="O1" s="1856"/>
      <c r="P1" s="1856"/>
      <c r="Q1" s="1856"/>
      <c r="R1" s="1856"/>
      <c r="S1" s="1856"/>
      <c r="T1" s="1856"/>
      <c r="U1" s="1856"/>
    </row>
    <row r="2" spans="1:85" s="27" customFormat="1" ht="11.25" x14ac:dyDescent="0.25">
      <c r="A2" s="2240"/>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657"/>
      <c r="AC2" s="769" t="s">
        <v>434</v>
      </c>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row>
    <row r="3" spans="1:85" s="665" customFormat="1" ht="15" customHeight="1" x14ac:dyDescent="0.2">
      <c r="A3" s="761"/>
      <c r="B3" s="687" t="s">
        <v>179</v>
      </c>
      <c r="C3" s="687"/>
      <c r="D3" s="687"/>
      <c r="E3" s="687"/>
      <c r="F3" s="2412"/>
      <c r="G3" s="2412"/>
      <c r="H3" s="2412"/>
      <c r="I3" s="2412"/>
      <c r="J3" s="2412"/>
      <c r="K3" s="2412"/>
      <c r="L3" s="2412"/>
      <c r="M3" s="2412"/>
      <c r="N3" s="2412"/>
      <c r="O3" s="2412"/>
      <c r="P3" s="2412"/>
      <c r="Q3" s="687"/>
      <c r="R3" s="687"/>
      <c r="S3" s="687"/>
      <c r="T3" s="691"/>
      <c r="U3" s="1724" t="s">
        <v>22</v>
      </c>
      <c r="V3" s="1724"/>
      <c r="W3" s="1596" t="s">
        <v>370</v>
      </c>
      <c r="X3" s="1596"/>
      <c r="Y3" s="1596"/>
      <c r="Z3" s="1596"/>
      <c r="AA3" s="1596"/>
      <c r="AB3" s="167"/>
      <c r="AC3" s="212"/>
      <c r="AD3" s="212"/>
      <c r="AE3" s="212"/>
      <c r="AF3" s="212"/>
      <c r="AG3" s="212"/>
      <c r="AH3" s="212"/>
      <c r="AI3" s="212"/>
      <c r="AJ3" s="212"/>
      <c r="AK3" s="212"/>
      <c r="AL3" s="212"/>
      <c r="AM3" s="664"/>
      <c r="AN3" s="664"/>
      <c r="AO3" s="664"/>
      <c r="AP3" s="664"/>
      <c r="AQ3" s="664"/>
      <c r="AR3" s="664"/>
      <c r="AS3" s="664"/>
      <c r="AT3" s="66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row>
    <row r="4" spans="1:85" s="1" customFormat="1" ht="15" customHeight="1" x14ac:dyDescent="0.2">
      <c r="A4" s="761"/>
      <c r="B4" s="687" t="s">
        <v>732</v>
      </c>
      <c r="C4" s="687"/>
      <c r="D4" s="687"/>
      <c r="E4" s="687"/>
      <c r="F4" s="2412"/>
      <c r="G4" s="2412"/>
      <c r="H4" s="2412"/>
      <c r="I4" s="2412"/>
      <c r="J4" s="2412"/>
      <c r="K4" s="2412"/>
      <c r="L4" s="2412"/>
      <c r="M4" s="2412"/>
      <c r="N4" s="2412"/>
      <c r="O4" s="2412"/>
      <c r="P4" s="2412"/>
      <c r="Q4" s="691"/>
      <c r="R4" s="691"/>
      <c r="S4" s="691"/>
      <c r="T4" s="691"/>
      <c r="U4" s="1724" t="s">
        <v>368</v>
      </c>
      <c r="V4" s="1724"/>
      <c r="W4" s="1596"/>
      <c r="X4" s="1596"/>
      <c r="Y4" s="1596"/>
      <c r="Z4" s="1596"/>
      <c r="AA4" s="1596"/>
      <c r="AB4" s="167"/>
      <c r="AC4" s="664"/>
      <c r="AD4" s="664"/>
      <c r="AE4" s="664"/>
      <c r="AF4" s="664"/>
      <c r="AG4" s="664"/>
      <c r="AH4" s="664"/>
      <c r="AI4" s="664"/>
      <c r="AJ4" s="664"/>
      <c r="AK4" s="664"/>
      <c r="AL4" s="664"/>
      <c r="AM4" s="664"/>
      <c r="AN4" s="664"/>
      <c r="AO4" s="664"/>
      <c r="AP4" s="664"/>
      <c r="AQ4" s="666"/>
      <c r="AR4" s="666"/>
      <c r="AS4" s="666"/>
      <c r="AT4" s="664"/>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t="str">
        <f ca="1">CONCATENATE(CA6,"y ",CA7,"m")</f>
        <v>117y 3m</v>
      </c>
      <c r="CB4" s="131"/>
      <c r="CC4" s="594">
        <f ca="1">NOW()</f>
        <v>42797.514809143519</v>
      </c>
      <c r="CD4" s="131"/>
      <c r="CE4" s="131"/>
      <c r="CF4" s="131"/>
      <c r="CG4" s="131"/>
    </row>
    <row r="5" spans="1:85" s="1" customFormat="1" ht="15" customHeight="1" x14ac:dyDescent="0.2">
      <c r="A5" s="761"/>
      <c r="B5" s="796" t="s">
        <v>733</v>
      </c>
      <c r="C5" s="796"/>
      <c r="D5" s="796"/>
      <c r="E5" s="796"/>
      <c r="F5" s="2412"/>
      <c r="G5" s="2412"/>
      <c r="H5" s="2412"/>
      <c r="I5" s="2412"/>
      <c r="J5" s="2412"/>
      <c r="K5" s="2412"/>
      <c r="L5" s="2412"/>
      <c r="M5" s="2412"/>
      <c r="N5" s="2412"/>
      <c r="O5" s="2412"/>
      <c r="P5" s="2412"/>
      <c r="Q5" s="797"/>
      <c r="R5" s="797"/>
      <c r="S5" s="797"/>
      <c r="T5" s="691"/>
      <c r="U5" s="1724" t="s">
        <v>662</v>
      </c>
      <c r="V5" s="1724"/>
      <c r="W5" s="799"/>
      <c r="X5" s="799"/>
      <c r="Y5" s="799"/>
      <c r="Z5" s="799"/>
      <c r="AA5" s="799"/>
      <c r="AB5" s="167"/>
      <c r="AC5" s="762"/>
      <c r="AD5" s="770" t="s">
        <v>441</v>
      </c>
      <c r="AE5" s="770"/>
      <c r="AF5" s="770"/>
      <c r="AG5" s="770"/>
      <c r="AH5" s="770"/>
      <c r="AI5" s="664"/>
      <c r="AJ5" s="664"/>
      <c r="AK5" s="664"/>
      <c r="AL5" s="664"/>
      <c r="AM5" s="664"/>
      <c r="AN5" s="667"/>
      <c r="AO5" s="668"/>
      <c r="AP5" s="664"/>
      <c r="AQ5" s="669"/>
      <c r="AR5" s="669"/>
      <c r="AS5" s="669"/>
      <c r="AT5" s="664"/>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595">
        <f ca="1">+CC4-W5</f>
        <v>42797.514809143519</v>
      </c>
      <c r="CD5" s="131"/>
      <c r="CE5" s="131"/>
      <c r="CF5" s="131"/>
      <c r="CG5" s="131"/>
    </row>
    <row r="6" spans="1:85" s="1" customFormat="1" ht="15" customHeight="1" x14ac:dyDescent="0.2">
      <c r="A6" s="761"/>
      <c r="B6" s="796"/>
      <c r="C6" s="796"/>
      <c r="D6" s="796"/>
      <c r="E6" s="796"/>
      <c r="F6" s="2412"/>
      <c r="G6" s="2412"/>
      <c r="H6" s="2412"/>
      <c r="I6" s="2412"/>
      <c r="J6" s="2412"/>
      <c r="K6" s="2412"/>
      <c r="L6" s="2412"/>
      <c r="M6" s="2412"/>
      <c r="N6" s="2412"/>
      <c r="O6" s="2412"/>
      <c r="P6" s="2412"/>
      <c r="Q6" s="797"/>
      <c r="R6" s="797"/>
      <c r="S6" s="797"/>
      <c r="T6" s="691"/>
      <c r="U6" s="760"/>
      <c r="V6" s="760"/>
      <c r="W6" s="799"/>
      <c r="X6" s="799"/>
      <c r="Y6" s="799"/>
      <c r="Z6" s="799"/>
      <c r="AA6" s="799"/>
      <c r="AB6" s="167"/>
      <c r="AC6" s="762"/>
      <c r="AD6" s="670"/>
      <c r="AE6" s="664"/>
      <c r="AF6" s="664"/>
      <c r="AG6" s="664"/>
      <c r="AH6" s="664"/>
      <c r="AI6" s="664"/>
      <c r="AJ6" s="664"/>
      <c r="AK6" s="664"/>
      <c r="AL6" s="664"/>
      <c r="AM6" s="664"/>
      <c r="AN6" s="667"/>
      <c r="AO6" s="668"/>
      <c r="AP6" s="664"/>
      <c r="AQ6" s="669"/>
      <c r="AR6" s="669"/>
      <c r="AS6" s="669"/>
      <c r="AT6" s="664"/>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f ca="1">ROUNDDOWN(CC6,0)</f>
        <v>117</v>
      </c>
      <c r="CB6" s="131"/>
      <c r="CC6" s="131">
        <f ca="1">+CC5/365.25</f>
        <v>117.17320960751134</v>
      </c>
      <c r="CD6" s="131"/>
      <c r="CE6" s="131"/>
      <c r="CF6" s="131"/>
      <c r="CG6" s="131"/>
    </row>
    <row r="7" spans="1:85" s="1" customFormat="1" ht="15" customHeight="1" x14ac:dyDescent="0.2">
      <c r="A7" s="761"/>
      <c r="B7" s="687" t="s">
        <v>734</v>
      </c>
      <c r="C7" s="687"/>
      <c r="D7" s="687"/>
      <c r="E7" s="687"/>
      <c r="F7" s="2412"/>
      <c r="G7" s="2412"/>
      <c r="H7" s="2412"/>
      <c r="I7" s="2412"/>
      <c r="J7" s="2412"/>
      <c r="K7" s="2412"/>
      <c r="L7" s="2412"/>
      <c r="M7" s="2412"/>
      <c r="N7" s="2412"/>
      <c r="O7" s="2412"/>
      <c r="P7" s="2412"/>
      <c r="Q7" s="691"/>
      <c r="R7" s="691"/>
      <c r="S7" s="691"/>
      <c r="T7" s="691"/>
      <c r="U7" s="1724" t="s">
        <v>22</v>
      </c>
      <c r="V7" s="1724"/>
      <c r="W7" s="1596" t="s">
        <v>757</v>
      </c>
      <c r="X7" s="1596"/>
      <c r="Y7" s="1596"/>
      <c r="Z7" s="1596"/>
      <c r="AA7" s="1596"/>
      <c r="AB7" s="167"/>
      <c r="AC7" s="671"/>
      <c r="AD7" s="670"/>
      <c r="AE7" s="771"/>
      <c r="AF7" s="771"/>
      <c r="AG7" s="771"/>
      <c r="AH7" s="771"/>
      <c r="AI7" s="771"/>
      <c r="AJ7" s="771"/>
      <c r="AK7" s="664"/>
      <c r="AL7" s="664"/>
      <c r="AM7" s="664"/>
      <c r="AN7" s="667"/>
      <c r="AO7" s="668"/>
      <c r="AP7" s="664"/>
      <c r="AQ7" s="669"/>
      <c r="AR7" s="669"/>
      <c r="AS7" s="669"/>
      <c r="AT7" s="664"/>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f ca="1">ROUNDDOWN(CC7/30.4,0)</f>
        <v>3</v>
      </c>
      <c r="CB7" s="131"/>
      <c r="CC7" s="131">
        <f ca="1">+CC5-CA6*365</f>
        <v>92.514809143518505</v>
      </c>
      <c r="CD7" s="131"/>
      <c r="CE7" s="131"/>
      <c r="CF7" s="131"/>
      <c r="CG7" s="131"/>
    </row>
    <row r="8" spans="1:85" s="27" customFormat="1" ht="15" customHeight="1" x14ac:dyDescent="0.2">
      <c r="A8" s="761"/>
      <c r="B8" s="687" t="str">
        <f>IF(W3="Company P/L","Directors",IF(W3="Partnership","Partners",IF(W3="Sole Trader","","Trustees")))</f>
        <v>Trustees</v>
      </c>
      <c r="C8" s="687"/>
      <c r="D8" s="687"/>
      <c r="E8" s="687"/>
      <c r="F8" s="2412"/>
      <c r="G8" s="2412"/>
      <c r="H8" s="2412"/>
      <c r="I8" s="2412"/>
      <c r="J8" s="2412"/>
      <c r="K8" s="2412"/>
      <c r="L8" s="2412"/>
      <c r="M8" s="2412"/>
      <c r="N8" s="2412"/>
      <c r="O8" s="2412"/>
      <c r="P8" s="2412"/>
      <c r="Q8" s="691"/>
      <c r="R8" s="691"/>
      <c r="S8" s="691"/>
      <c r="T8" s="687"/>
      <c r="U8" s="1724" t="s">
        <v>368</v>
      </c>
      <c r="V8" s="1724"/>
      <c r="W8" s="1596"/>
      <c r="X8" s="1596"/>
      <c r="Y8" s="1596"/>
      <c r="Z8" s="1596"/>
      <c r="AA8" s="1596"/>
      <c r="AB8" s="167"/>
      <c r="AC8" s="764"/>
      <c r="AD8" s="765"/>
      <c r="AE8" s="772"/>
      <c r="AF8" s="772"/>
      <c r="AG8" s="772"/>
      <c r="AH8" s="772"/>
      <c r="AI8" s="772"/>
      <c r="AJ8" s="772"/>
      <c r="AK8" s="660"/>
      <c r="AL8" s="660"/>
      <c r="AM8" s="660"/>
      <c r="AN8" s="661"/>
      <c r="AO8" s="662"/>
      <c r="AP8" s="660"/>
      <c r="AQ8" s="663"/>
      <c r="AR8" s="663"/>
      <c r="AS8" s="663"/>
      <c r="AT8" s="660"/>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row>
    <row r="9" spans="1:85" s="1" customFormat="1" ht="18.75" customHeight="1" x14ac:dyDescent="0.25">
      <c r="A9" s="761"/>
      <c r="B9" s="687" t="s">
        <v>733</v>
      </c>
      <c r="C9" s="687"/>
      <c r="D9" s="687"/>
      <c r="E9" s="687"/>
      <c r="F9" s="2412"/>
      <c r="G9" s="2412"/>
      <c r="H9" s="2412"/>
      <c r="I9" s="2412"/>
      <c r="J9" s="2412"/>
      <c r="K9" s="2412"/>
      <c r="L9" s="2412"/>
      <c r="M9" s="2412"/>
      <c r="N9" s="2412"/>
      <c r="O9" s="2412"/>
      <c r="P9" s="2412"/>
      <c r="Q9" s="691"/>
      <c r="R9" s="691"/>
      <c r="S9" s="691"/>
      <c r="T9" s="761"/>
      <c r="U9" s="1724" t="s">
        <v>662</v>
      </c>
      <c r="V9" s="1724"/>
      <c r="W9" s="799"/>
      <c r="X9" s="799"/>
      <c r="Y9" s="799"/>
      <c r="Z9" s="799"/>
      <c r="AA9" s="799"/>
      <c r="AB9" s="167"/>
      <c r="AC9" s="762"/>
      <c r="AD9" s="763"/>
      <c r="AE9" s="762"/>
      <c r="AF9" s="762"/>
      <c r="AG9" s="762"/>
      <c r="AH9" s="763"/>
      <c r="AI9" s="763"/>
      <c r="AJ9" s="763"/>
      <c r="AK9" s="133"/>
      <c r="AL9" s="133"/>
      <c r="AM9" s="133"/>
      <c r="AN9" s="177"/>
      <c r="AO9" s="178"/>
      <c r="AP9" s="133"/>
      <c r="AQ9" s="179"/>
      <c r="AR9" s="179"/>
      <c r="AS9" s="179"/>
      <c r="AT9" s="133"/>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row>
    <row r="10" spans="1:85" s="1" customFormat="1" ht="15" x14ac:dyDescent="0.25">
      <c r="A10" s="689"/>
      <c r="B10" s="1722"/>
      <c r="C10" s="1722"/>
      <c r="D10" s="1722"/>
      <c r="E10" s="1722"/>
      <c r="F10" s="1722"/>
      <c r="G10" s="1722"/>
      <c r="H10" s="1722"/>
      <c r="I10" s="1722"/>
      <c r="J10" s="1722"/>
      <c r="K10" s="1722"/>
      <c r="L10" s="1722"/>
      <c r="M10" s="1722"/>
      <c r="N10" s="1722"/>
      <c r="O10" s="1722"/>
      <c r="P10" s="1722"/>
      <c r="Q10" s="1722"/>
      <c r="R10" s="1722"/>
      <c r="S10" s="1722"/>
      <c r="T10" s="1722"/>
      <c r="U10" s="1722"/>
      <c r="V10" s="1722"/>
      <c r="W10" s="1722"/>
      <c r="X10" s="1722"/>
      <c r="Y10" s="1722"/>
      <c r="Z10" s="1722"/>
      <c r="AA10" s="689"/>
      <c r="AB10" s="658"/>
      <c r="AC10" s="762"/>
      <c r="AD10" s="763"/>
      <c r="AE10" s="773"/>
      <c r="AF10" s="773"/>
      <c r="AG10" s="773"/>
      <c r="AH10" s="773"/>
      <c r="AI10" s="773"/>
      <c r="AJ10" s="773"/>
      <c r="AK10" s="133"/>
      <c r="AL10" s="133"/>
      <c r="AM10" s="133"/>
      <c r="AN10" s="133"/>
      <c r="AO10" s="133"/>
      <c r="AP10" s="133"/>
      <c r="AQ10" s="133"/>
      <c r="AR10" s="133"/>
      <c r="AS10" s="133"/>
      <c r="AT10" s="133"/>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row>
    <row r="11" spans="1:85" s="1" customFormat="1" ht="18.75" customHeight="1" x14ac:dyDescent="0.25">
      <c r="A11" s="599"/>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167"/>
      <c r="AC11" s="762"/>
      <c r="AD11" s="763"/>
      <c r="AE11" s="773"/>
      <c r="AF11" s="773"/>
      <c r="AG11" s="773"/>
      <c r="AH11" s="773"/>
      <c r="AI11" s="773"/>
      <c r="AJ11" s="773"/>
      <c r="AK11" s="133"/>
      <c r="AL11" s="133"/>
      <c r="AM11" s="133"/>
      <c r="AN11" s="133"/>
      <c r="AO11" s="133"/>
      <c r="AP11" s="133"/>
      <c r="AQ11" s="774"/>
      <c r="AR11" s="774"/>
      <c r="AS11" s="774"/>
      <c r="AT11" s="133"/>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row>
    <row r="12" spans="1:85" s="1" customFormat="1" ht="26.25" x14ac:dyDescent="0.25">
      <c r="A12" s="1718" t="s">
        <v>735</v>
      </c>
      <c r="B12" s="1718"/>
      <c r="C12" s="1718"/>
      <c r="D12" s="1718"/>
      <c r="E12" s="1718"/>
      <c r="F12" s="1718"/>
      <c r="G12" s="1718"/>
      <c r="H12" s="1718"/>
      <c r="I12" s="1718"/>
      <c r="J12" s="1718"/>
      <c r="K12" s="1718"/>
      <c r="L12" s="1718"/>
      <c r="M12" s="1718"/>
      <c r="N12" s="1718"/>
      <c r="O12" s="1718"/>
      <c r="P12" s="1718"/>
      <c r="Q12" s="169"/>
      <c r="R12" s="776" t="s">
        <v>547</v>
      </c>
      <c r="S12" s="777"/>
      <c r="T12" s="777"/>
      <c r="U12" s="777"/>
      <c r="V12" s="169"/>
      <c r="W12" s="169"/>
      <c r="X12" s="169"/>
      <c r="Y12" s="165"/>
      <c r="Z12" s="165"/>
      <c r="AA12" s="167"/>
      <c r="AB12" s="167"/>
      <c r="AC12" s="762"/>
      <c r="AD12" s="763"/>
      <c r="AE12" s="773"/>
      <c r="AF12" s="773"/>
      <c r="AG12" s="773"/>
      <c r="AH12" s="773"/>
      <c r="AI12" s="773"/>
      <c r="AJ12" s="773"/>
      <c r="AK12" s="133"/>
      <c r="AL12" s="133"/>
      <c r="AM12" s="133"/>
      <c r="AN12" s="133"/>
      <c r="AO12" s="133"/>
      <c r="AP12" s="133"/>
      <c r="AQ12" s="182"/>
      <c r="AR12" s="182"/>
      <c r="AS12" s="183"/>
      <c r="AT12" s="133"/>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row>
    <row r="13" spans="1:85" s="1" customFormat="1" ht="18.75" customHeight="1" x14ac:dyDescent="0.25">
      <c r="A13" s="2279" t="s">
        <v>736</v>
      </c>
      <c r="B13" s="2280"/>
      <c r="C13" s="2280"/>
      <c r="D13" s="2280"/>
      <c r="E13" s="2280"/>
      <c r="F13" s="2280"/>
      <c r="G13" s="766"/>
      <c r="H13" s="766"/>
      <c r="I13" s="778"/>
      <c r="J13" s="778"/>
      <c r="K13" s="778"/>
      <c r="L13" s="778"/>
      <c r="M13" s="2394"/>
      <c r="N13" s="2395"/>
      <c r="O13" s="2395"/>
      <c r="P13" s="2396"/>
      <c r="Q13" s="779"/>
      <c r="R13" s="2394" t="str">
        <f>+Funding!P25</f>
        <v/>
      </c>
      <c r="S13" s="2395"/>
      <c r="T13" s="2395"/>
      <c r="U13" s="2396"/>
      <c r="Z13" s="775"/>
      <c r="AA13" s="775"/>
      <c r="AB13" s="167"/>
      <c r="AC13" s="133"/>
      <c r="AD13" s="133"/>
      <c r="AE13" s="133"/>
      <c r="AF13" s="133"/>
      <c r="AG13" s="133"/>
      <c r="AH13" s="133"/>
      <c r="AI13" s="133"/>
      <c r="AJ13" s="133"/>
      <c r="AK13" s="133"/>
      <c r="AL13" s="133"/>
      <c r="AM13" s="133"/>
      <c r="AN13" s="133"/>
      <c r="AO13" s="133"/>
      <c r="AP13" s="133"/>
      <c r="AQ13" s="184"/>
      <c r="AR13" s="185"/>
      <c r="AS13" s="183"/>
      <c r="AT13" s="133"/>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row>
    <row r="14" spans="1:85" s="1" customFormat="1" ht="18.75" customHeight="1" x14ac:dyDescent="0.25">
      <c r="A14" s="2279" t="s">
        <v>737</v>
      </c>
      <c r="B14" s="2280"/>
      <c r="C14" s="2280"/>
      <c r="D14" s="2280"/>
      <c r="E14" s="2280"/>
      <c r="F14" s="2280"/>
      <c r="G14" s="2404"/>
      <c r="H14" s="2404"/>
      <c r="I14" s="2404"/>
      <c r="J14" s="2404"/>
      <c r="K14" s="2405">
        <v>0.8</v>
      </c>
      <c r="L14" s="2405"/>
      <c r="M14" s="2394"/>
      <c r="N14" s="2395"/>
      <c r="O14" s="2395"/>
      <c r="P14" s="2396"/>
      <c r="Q14" s="779"/>
      <c r="R14" s="2406" t="s">
        <v>738</v>
      </c>
      <c r="S14" s="2406"/>
      <c r="T14" s="2406"/>
      <c r="U14" s="2406"/>
      <c r="Z14" s="775"/>
      <c r="AA14" s="775"/>
      <c r="AB14" s="167"/>
      <c r="AC14" s="133"/>
      <c r="AD14" s="133"/>
      <c r="AE14" s="133"/>
      <c r="AF14" s="133"/>
      <c r="AG14" s="133"/>
      <c r="AH14" s="133"/>
      <c r="AI14" s="133"/>
      <c r="AJ14" s="133"/>
      <c r="AK14" s="133"/>
      <c r="AL14" s="133"/>
      <c r="AM14" s="133"/>
      <c r="AN14" s="133"/>
      <c r="AO14" s="133"/>
      <c r="AP14" s="133"/>
      <c r="AQ14" s="184"/>
      <c r="AR14" s="185"/>
      <c r="AS14" s="183"/>
      <c r="AT14" s="133"/>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row>
    <row r="15" spans="1:85" s="1" customFormat="1" ht="18.75" customHeight="1" x14ac:dyDescent="0.25">
      <c r="A15" s="2279" t="s">
        <v>739</v>
      </c>
      <c r="B15" s="2280"/>
      <c r="C15" s="2280"/>
      <c r="D15" s="2280"/>
      <c r="E15" s="2280"/>
      <c r="F15" s="2280"/>
      <c r="G15" s="2404"/>
      <c r="H15" s="2404"/>
      <c r="I15" s="2404"/>
      <c r="J15" s="2404"/>
      <c r="K15" s="2405">
        <v>0.8</v>
      </c>
      <c r="L15" s="2405"/>
      <c r="M15" s="2394">
        <f>+G15*K15</f>
        <v>0</v>
      </c>
      <c r="N15" s="2395"/>
      <c r="O15" s="2395"/>
      <c r="P15" s="2396"/>
      <c r="Q15" s="779"/>
      <c r="R15" s="2394" t="str">
        <f>IFERROR(+Funding!P31*12,"")</f>
        <v/>
      </c>
      <c r="S15" s="2395"/>
      <c r="T15" s="2395"/>
      <c r="U15" s="2396"/>
      <c r="Z15" s="775"/>
      <c r="AA15" s="775"/>
      <c r="AB15" s="167"/>
      <c r="AC15" s="133"/>
      <c r="AD15" s="133"/>
      <c r="AE15" s="133"/>
      <c r="AF15" s="133"/>
      <c r="AG15" s="133"/>
      <c r="AH15" s="133"/>
      <c r="AI15" s="133"/>
      <c r="AJ15" s="133"/>
      <c r="AK15" s="133"/>
      <c r="AL15" s="133"/>
      <c r="AM15" s="133"/>
      <c r="AN15" s="133"/>
      <c r="AO15" s="133"/>
      <c r="AP15" s="133"/>
      <c r="AQ15" s="184"/>
      <c r="AR15" s="185"/>
      <c r="AS15" s="183"/>
      <c r="AT15" s="133"/>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row>
    <row r="16" spans="1:85" s="1" customFormat="1" ht="18.75" customHeight="1" x14ac:dyDescent="0.25">
      <c r="A16" s="2279" t="s">
        <v>19</v>
      </c>
      <c r="B16" s="2280"/>
      <c r="C16" s="2280"/>
      <c r="D16" s="2280"/>
      <c r="E16" s="2280"/>
      <c r="F16" s="2280"/>
      <c r="G16" s="766"/>
      <c r="H16" s="766"/>
      <c r="I16" s="778"/>
      <c r="J16" s="778"/>
      <c r="K16" s="778"/>
      <c r="L16" s="778"/>
      <c r="M16" s="2394"/>
      <c r="N16" s="2395"/>
      <c r="O16" s="2395"/>
      <c r="P16" s="2396"/>
      <c r="Q16" s="779"/>
      <c r="R16" s="2406" t="s">
        <v>740</v>
      </c>
      <c r="S16" s="2406"/>
      <c r="T16" s="2406"/>
      <c r="U16" s="2406"/>
      <c r="W16" s="2407" t="s">
        <v>741</v>
      </c>
      <c r="X16" s="2407"/>
      <c r="Y16" s="2407"/>
      <c r="Z16" s="2407"/>
      <c r="AA16" s="775"/>
      <c r="AB16" s="167"/>
      <c r="AC16" s="133"/>
      <c r="AD16" s="133"/>
      <c r="AE16" s="133"/>
      <c r="AF16" s="133"/>
      <c r="AG16" s="133"/>
      <c r="AH16" s="133"/>
      <c r="AI16" s="133"/>
      <c r="AJ16" s="133"/>
      <c r="AK16" s="133"/>
      <c r="AL16" s="133"/>
      <c r="AM16" s="133"/>
      <c r="AN16" s="133"/>
      <c r="AO16" s="133"/>
      <c r="AP16" s="133"/>
      <c r="AQ16" s="184"/>
      <c r="AR16" s="185"/>
      <c r="AS16" s="183"/>
      <c r="AT16" s="133"/>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row>
    <row r="17" spans="1:85" s="1" customFormat="1" ht="18.75" customHeight="1" x14ac:dyDescent="0.25">
      <c r="A17" s="2279" t="s">
        <v>742</v>
      </c>
      <c r="B17" s="2280"/>
      <c r="C17" s="2280"/>
      <c r="D17" s="2280"/>
      <c r="E17" s="2280"/>
      <c r="F17" s="2280"/>
      <c r="G17" s="766"/>
      <c r="H17" s="766"/>
      <c r="I17" s="778"/>
      <c r="J17" s="778"/>
      <c r="K17" s="778"/>
      <c r="L17" s="778"/>
      <c r="M17" s="2408">
        <f>SUM(M13:P16)</f>
        <v>0</v>
      </c>
      <c r="N17" s="2409"/>
      <c r="O17" s="2409"/>
      <c r="P17" s="2410"/>
      <c r="Q17" s="780"/>
      <c r="R17" s="2408" t="e">
        <f>IF(Purchase="","",PMT((Funding!E30+2%)/12,Funding!K31*12,-Funding!P25))*12</f>
        <v>#VALUE!</v>
      </c>
      <c r="S17" s="2409"/>
      <c r="T17" s="2409"/>
      <c r="U17" s="2410"/>
      <c r="W17" s="2408" t="e">
        <f>+M17-R17</f>
        <v>#VALUE!</v>
      </c>
      <c r="X17" s="2409"/>
      <c r="Y17" s="2409"/>
      <c r="Z17" s="2410"/>
      <c r="AA17" s="775"/>
      <c r="AB17" s="167"/>
      <c r="AC17" s="186"/>
      <c r="AD17" s="186"/>
      <c r="AE17" s="186"/>
      <c r="AF17" s="186"/>
      <c r="AG17" s="186"/>
      <c r="AH17" s="186"/>
      <c r="AI17" s="186"/>
      <c r="AJ17" s="186"/>
      <c r="AK17" s="186"/>
      <c r="AL17" s="133"/>
      <c r="AM17" s="133"/>
      <c r="AN17" s="133"/>
      <c r="AO17" s="133"/>
      <c r="AP17" s="133"/>
      <c r="AQ17" s="184"/>
      <c r="AR17" s="185"/>
      <c r="AS17" s="183"/>
      <c r="AT17" s="133"/>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row>
    <row r="18" spans="1:85" s="1" customFormat="1" ht="18.75" customHeight="1" x14ac:dyDescent="0.3">
      <c r="A18" s="2279"/>
      <c r="B18" s="2280"/>
      <c r="C18" s="2280"/>
      <c r="D18" s="2280"/>
      <c r="E18" s="2280"/>
      <c r="F18" s="2280"/>
      <c r="G18" s="766"/>
      <c r="H18" s="766"/>
      <c r="I18" s="781"/>
      <c r="J18" s="781"/>
      <c r="K18" s="781"/>
      <c r="L18" s="781"/>
      <c r="Q18" s="639"/>
      <c r="R18" s="639"/>
      <c r="S18" s="639"/>
      <c r="T18" s="639"/>
      <c r="U18" s="639"/>
      <c r="Z18" s="639"/>
      <c r="AA18" s="647"/>
      <c r="AB18" s="167"/>
      <c r="AC18" s="172"/>
      <c r="AD18" s="186"/>
      <c r="AE18" s="186"/>
      <c r="AF18" s="186"/>
      <c r="AG18" s="186"/>
      <c r="AH18" s="186"/>
      <c r="AI18" s="186"/>
      <c r="AJ18" s="186"/>
      <c r="AK18" s="186"/>
      <c r="AL18" s="133"/>
      <c r="AM18" s="133"/>
      <c r="AN18" s="133"/>
      <c r="AO18" s="133"/>
      <c r="AP18" s="133"/>
      <c r="AQ18" s="184"/>
      <c r="AR18" s="187"/>
      <c r="AS18" s="183"/>
      <c r="AT18" s="133"/>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row>
    <row r="19" spans="1:85" s="1" customFormat="1" ht="26.25" x14ac:dyDescent="0.25">
      <c r="A19" s="653" t="s">
        <v>743</v>
      </c>
      <c r="B19" s="653"/>
      <c r="C19" s="653"/>
      <c r="D19" s="653"/>
      <c r="E19" s="653"/>
      <c r="F19" s="653"/>
      <c r="G19" s="653"/>
      <c r="H19" s="653"/>
      <c r="I19" s="653"/>
      <c r="J19" s="653"/>
      <c r="K19" s="653"/>
      <c r="L19" s="653"/>
      <c r="M19" s="169"/>
      <c r="N19" s="169"/>
      <c r="O19" s="169"/>
      <c r="P19" s="169"/>
      <c r="Q19" s="169"/>
      <c r="Z19" s="165"/>
      <c r="AA19" s="167"/>
      <c r="AB19" s="167"/>
      <c r="AC19" s="172"/>
      <c r="AD19" s="186"/>
      <c r="AE19" s="186"/>
      <c r="AF19" s="186"/>
      <c r="AG19" s="186"/>
      <c r="AH19" s="186"/>
      <c r="AI19" s="186"/>
      <c r="AJ19" s="186"/>
      <c r="AK19" s="186"/>
      <c r="AL19" s="186"/>
      <c r="AM19" s="151"/>
      <c r="AN19" s="151"/>
      <c r="AO19" s="151"/>
      <c r="AP19" s="151"/>
      <c r="AQ19" s="151"/>
      <c r="AR19" s="151"/>
      <c r="AS19" s="151"/>
      <c r="AT19" s="15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row>
    <row r="20" spans="1:85" s="1" customFormat="1" ht="18.75" customHeight="1" x14ac:dyDescent="0.3">
      <c r="A20" s="2279" t="s">
        <v>744</v>
      </c>
      <c r="B20" s="2280"/>
      <c r="C20" s="2280"/>
      <c r="D20" s="2280"/>
      <c r="E20" s="2280"/>
      <c r="F20" s="2280"/>
      <c r="G20" s="2280"/>
      <c r="H20" s="2280"/>
      <c r="I20" s="781"/>
      <c r="J20" s="781"/>
      <c r="K20" s="653"/>
      <c r="L20" s="653"/>
      <c r="M20" s="2394"/>
      <c r="N20" s="2395"/>
      <c r="O20" s="2395"/>
      <c r="P20" s="2396"/>
      <c r="Q20" s="779"/>
      <c r="R20" s="2411" t="s">
        <v>32</v>
      </c>
      <c r="S20" s="2411"/>
      <c r="T20" s="2411"/>
      <c r="U20" s="2411"/>
      <c r="Z20" s="775"/>
      <c r="AA20" s="775"/>
      <c r="AB20" s="167"/>
      <c r="AC20" s="172"/>
      <c r="AD20" s="186"/>
      <c r="AE20" s="186"/>
      <c r="AF20" s="186"/>
      <c r="AG20" s="186"/>
      <c r="AH20" s="186"/>
      <c r="AI20" s="186"/>
      <c r="AJ20" s="186"/>
      <c r="AK20" s="186"/>
      <c r="AL20" s="186"/>
      <c r="AM20" s="186"/>
      <c r="AN20" s="186"/>
      <c r="AO20" s="186"/>
      <c r="AP20" s="186"/>
      <c r="AQ20" s="186"/>
      <c r="AR20" s="186"/>
      <c r="AS20" s="186"/>
      <c r="AT20" s="15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row>
    <row r="21" spans="1:85" s="1" customFormat="1" ht="18.75" customHeight="1" x14ac:dyDescent="0.3">
      <c r="A21" s="2279" t="s">
        <v>745</v>
      </c>
      <c r="B21" s="2280"/>
      <c r="C21" s="2280"/>
      <c r="D21" s="2280"/>
      <c r="E21" s="2280"/>
      <c r="F21" s="2280"/>
      <c r="G21" s="2280"/>
      <c r="H21" s="2280"/>
      <c r="I21" s="781"/>
      <c r="J21" s="781"/>
      <c r="K21" s="653"/>
      <c r="L21" s="653"/>
      <c r="M21" s="2394"/>
      <c r="N21" s="2395"/>
      <c r="O21" s="2395"/>
      <c r="P21" s="2396"/>
      <c r="Q21" s="779"/>
      <c r="R21" s="2394">
        <f>+Funding!G11</f>
        <v>0</v>
      </c>
      <c r="S21" s="2395"/>
      <c r="T21" s="2395"/>
      <c r="U21" s="2396"/>
      <c r="Z21" s="775"/>
      <c r="AA21" s="775"/>
      <c r="AB21" s="167"/>
      <c r="AC21" s="172"/>
      <c r="AD21" s="186"/>
      <c r="AE21" s="186"/>
      <c r="AF21" s="186"/>
      <c r="AG21" s="186"/>
      <c r="AH21" s="186"/>
      <c r="AI21" s="186"/>
      <c r="AJ21" s="186"/>
      <c r="AK21" s="186"/>
      <c r="AL21" s="186"/>
      <c r="AM21" s="186"/>
      <c r="AN21" s="186"/>
      <c r="AO21" s="186"/>
      <c r="AP21" s="186"/>
      <c r="AQ21" s="186"/>
      <c r="AR21" s="186"/>
      <c r="AS21" s="186"/>
      <c r="AT21" s="15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row>
    <row r="22" spans="1:85" s="1" customFormat="1" ht="18.75" customHeight="1" x14ac:dyDescent="0.3">
      <c r="A22" s="2279" t="s">
        <v>19</v>
      </c>
      <c r="B22" s="2280"/>
      <c r="C22" s="2280"/>
      <c r="D22" s="2280"/>
      <c r="E22" s="2280"/>
      <c r="F22" s="2280"/>
      <c r="G22" s="2280"/>
      <c r="H22" s="2280"/>
      <c r="I22" s="781"/>
      <c r="J22" s="781"/>
      <c r="K22" s="653"/>
      <c r="L22" s="653"/>
      <c r="M22" s="800"/>
      <c r="N22" s="801"/>
      <c r="O22" s="801"/>
      <c r="P22" s="802"/>
      <c r="Q22" s="779"/>
      <c r="R22" s="1" t="s">
        <v>746</v>
      </c>
      <c r="Z22" s="775"/>
      <c r="AA22" s="775"/>
      <c r="AB22" s="167"/>
      <c r="AC22" s="172"/>
      <c r="AD22" s="186"/>
      <c r="AE22" s="186"/>
      <c r="AF22" s="186"/>
      <c r="AG22" s="186"/>
      <c r="AH22" s="186"/>
      <c r="AI22" s="186"/>
      <c r="AJ22" s="186"/>
      <c r="AK22" s="186"/>
      <c r="AL22" s="186"/>
      <c r="AM22" s="186"/>
      <c r="AN22" s="186"/>
      <c r="AO22" s="186"/>
      <c r="AP22" s="186"/>
      <c r="AQ22" s="186"/>
      <c r="AR22" s="186"/>
      <c r="AS22" s="186"/>
      <c r="AT22" s="15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row>
    <row r="23" spans="1:85" ht="18.75" customHeight="1" x14ac:dyDescent="0.3">
      <c r="A23" s="2279" t="s">
        <v>747</v>
      </c>
      <c r="B23" s="2280"/>
      <c r="C23" s="2280"/>
      <c r="D23" s="2280"/>
      <c r="E23" s="2280"/>
      <c r="F23" s="2280"/>
      <c r="G23" s="2280"/>
      <c r="H23" s="2280"/>
      <c r="I23" s="781"/>
      <c r="J23" s="781"/>
      <c r="K23" s="653"/>
      <c r="L23" s="653"/>
      <c r="M23" s="2400"/>
      <c r="N23" s="2401"/>
      <c r="O23" s="2401"/>
      <c r="P23" s="2402"/>
      <c r="Q23" s="779"/>
      <c r="R23" s="2394">
        <f>+R21*0.1</f>
        <v>0</v>
      </c>
      <c r="S23" s="2395"/>
      <c r="T23" s="2395"/>
      <c r="U23" s="2396"/>
      <c r="V23" s="1"/>
      <c r="W23" s="1"/>
      <c r="X23" s="1"/>
      <c r="Y23" s="1"/>
      <c r="Z23" s="775"/>
      <c r="AA23" s="775"/>
      <c r="AB23" s="167"/>
      <c r="AM23" s="186"/>
      <c r="AN23" s="186"/>
      <c r="AO23" s="186"/>
      <c r="AP23" s="186"/>
      <c r="AQ23" s="186"/>
      <c r="AR23" s="186"/>
    </row>
    <row r="24" spans="1:85" ht="18.75" customHeight="1" x14ac:dyDescent="0.3">
      <c r="A24" s="2279" t="s">
        <v>748</v>
      </c>
      <c r="B24" s="2280"/>
      <c r="C24" s="2280"/>
      <c r="D24" s="2280"/>
      <c r="E24" s="2280"/>
      <c r="F24" s="2280"/>
      <c r="G24" s="2280"/>
      <c r="H24" s="2280"/>
      <c r="I24" s="781"/>
      <c r="J24" s="781"/>
      <c r="K24" s="653"/>
      <c r="L24" s="653"/>
      <c r="M24" s="2394" t="str">
        <f>+Funding!P27</f>
        <v/>
      </c>
      <c r="N24" s="2395"/>
      <c r="O24" s="2395"/>
      <c r="P24" s="2396"/>
      <c r="Q24" s="779"/>
      <c r="R24" s="1" t="s">
        <v>749</v>
      </c>
      <c r="S24" s="1"/>
      <c r="T24" s="1"/>
      <c r="U24" s="1"/>
      <c r="V24" s="1"/>
      <c r="W24" s="2403" t="s">
        <v>750</v>
      </c>
      <c r="X24" s="2403"/>
      <c r="Y24" s="2403"/>
      <c r="Z24" s="2403"/>
      <c r="AA24" s="2403"/>
      <c r="AB24" s="167"/>
      <c r="AM24" s="186"/>
      <c r="AN24" s="186"/>
      <c r="AO24" s="186"/>
      <c r="AP24" s="186"/>
      <c r="AQ24" s="186"/>
      <c r="AR24" s="186"/>
    </row>
    <row r="25" spans="1:85" ht="18.75" customHeight="1" x14ac:dyDescent="0.3">
      <c r="A25" s="2279" t="s">
        <v>751</v>
      </c>
      <c r="B25" s="2280"/>
      <c r="C25" s="2280"/>
      <c r="D25" s="2280"/>
      <c r="E25" s="2280"/>
      <c r="F25" s="2280"/>
      <c r="G25" s="2280"/>
      <c r="H25" s="2280"/>
      <c r="I25" s="781"/>
      <c r="J25" s="781"/>
      <c r="K25" s="653"/>
      <c r="L25" s="653"/>
      <c r="M25" s="2397"/>
      <c r="N25" s="2398"/>
      <c r="O25" s="2398"/>
      <c r="P25" s="2399"/>
      <c r="Q25" s="780"/>
      <c r="R25" s="2397"/>
      <c r="S25" s="2398"/>
      <c r="T25" s="2398"/>
      <c r="U25" s="2399"/>
      <c r="W25" s="2386"/>
      <c r="X25" s="2387"/>
      <c r="Y25" s="2387"/>
      <c r="Z25" s="2387"/>
      <c r="AA25" s="2388"/>
      <c r="AB25" s="166"/>
    </row>
    <row r="26" spans="1:85" ht="18.75" customHeight="1" x14ac:dyDescent="0.25">
      <c r="A26" s="168"/>
      <c r="B26" s="168"/>
      <c r="C26" s="168"/>
      <c r="D26" s="168"/>
      <c r="E26" s="168"/>
      <c r="F26" s="168"/>
      <c r="G26" s="163"/>
      <c r="H26" s="168"/>
      <c r="I26" s="168"/>
      <c r="J26" s="168"/>
      <c r="K26" s="168"/>
      <c r="L26" s="168"/>
      <c r="M26" s="168"/>
      <c r="N26" s="168"/>
      <c r="O26" s="168"/>
      <c r="P26" s="165"/>
      <c r="Q26" s="165"/>
      <c r="R26" s="165"/>
      <c r="S26" s="171"/>
      <c r="T26" s="171"/>
      <c r="U26" s="171"/>
      <c r="V26" s="171"/>
      <c r="W26" s="171"/>
      <c r="X26" s="171"/>
      <c r="Y26" s="171"/>
      <c r="Z26" s="171"/>
      <c r="AA26" s="171"/>
      <c r="AB26" s="166"/>
    </row>
    <row r="27" spans="1:85" ht="26.25" x14ac:dyDescent="0.25">
      <c r="A27" s="1718" t="s">
        <v>752</v>
      </c>
      <c r="B27" s="1718"/>
      <c r="C27" s="1718"/>
      <c r="D27" s="1718"/>
      <c r="E27" s="1718"/>
      <c r="F27" s="1718"/>
      <c r="G27" s="1718"/>
      <c r="H27" s="1718"/>
      <c r="I27" s="1718"/>
      <c r="J27" s="1718"/>
      <c r="K27" s="1718"/>
      <c r="L27" s="1718"/>
      <c r="M27" s="1718"/>
      <c r="N27" s="1718"/>
      <c r="O27" s="1718"/>
      <c r="P27" s="1718"/>
      <c r="Q27" s="165"/>
      <c r="R27" s="165"/>
      <c r="S27" s="171"/>
      <c r="T27" s="171"/>
      <c r="U27" s="171"/>
      <c r="V27" s="171"/>
      <c r="W27" s="171"/>
      <c r="X27" s="171"/>
      <c r="Y27" s="171"/>
      <c r="Z27" s="171"/>
      <c r="AA27" s="171"/>
      <c r="AB27" s="166"/>
    </row>
    <row r="28" spans="1:85" ht="18.75" customHeight="1" x14ac:dyDescent="0.25">
      <c r="A28" s="1719" t="s">
        <v>100</v>
      </c>
      <c r="B28" s="1719"/>
      <c r="C28" s="1719"/>
      <c r="D28" s="1719"/>
      <c r="E28" s="1719"/>
      <c r="F28" s="1719"/>
      <c r="G28" s="1719"/>
      <c r="H28" s="1720"/>
      <c r="I28" s="2382"/>
      <c r="J28" s="2383"/>
      <c r="K28" s="2383"/>
      <c r="L28" s="2383"/>
      <c r="M28" s="2383"/>
      <c r="N28" s="2383"/>
      <c r="O28" s="2383"/>
      <c r="P28" s="2384"/>
      <c r="Q28" s="2389" t="s">
        <v>180</v>
      </c>
      <c r="R28" s="2390"/>
      <c r="S28" s="2391"/>
      <c r="T28" s="2392"/>
      <c r="U28" s="2392"/>
      <c r="V28" s="2392"/>
      <c r="W28" s="2392"/>
      <c r="X28" s="2392"/>
      <c r="Y28" s="2392"/>
      <c r="Z28" s="2392"/>
      <c r="AA28" s="2393"/>
      <c r="AB28" s="166"/>
    </row>
    <row r="29" spans="1:85" ht="18.75" customHeight="1" x14ac:dyDescent="0.25">
      <c r="A29" s="1719" t="s">
        <v>192</v>
      </c>
      <c r="B29" s="1719"/>
      <c r="C29" s="1719"/>
      <c r="D29" s="1719"/>
      <c r="E29" s="1719"/>
      <c r="F29" s="1719"/>
      <c r="G29" s="1719"/>
      <c r="H29" s="1720"/>
      <c r="I29" s="2382"/>
      <c r="J29" s="2383"/>
      <c r="K29" s="2383"/>
      <c r="L29" s="2383"/>
      <c r="M29" s="2383"/>
      <c r="N29" s="2383"/>
      <c r="O29" s="2383"/>
      <c r="P29" s="2384"/>
      <c r="Q29" s="2413" t="s">
        <v>379</v>
      </c>
      <c r="R29" s="2414"/>
      <c r="S29" s="2391"/>
      <c r="T29" s="2392"/>
      <c r="U29" s="2392"/>
      <c r="V29" s="2392"/>
      <c r="W29" s="2392"/>
      <c r="X29" s="2392"/>
      <c r="Y29" s="2392"/>
      <c r="Z29" s="2392"/>
      <c r="AA29" s="2393"/>
      <c r="AB29" s="166"/>
    </row>
    <row r="30" spans="1:85" ht="18.75" customHeight="1" x14ac:dyDescent="0.25">
      <c r="A30" s="1719" t="s">
        <v>193</v>
      </c>
      <c r="B30" s="1719"/>
      <c r="C30" s="1719"/>
      <c r="D30" s="1719"/>
      <c r="E30" s="1719"/>
      <c r="F30" s="1719"/>
      <c r="G30" s="1719"/>
      <c r="H30" s="1720"/>
      <c r="I30" s="2382"/>
      <c r="J30" s="2383"/>
      <c r="K30" s="2383"/>
      <c r="L30" s="2383"/>
      <c r="M30" s="2383"/>
      <c r="N30" s="2383"/>
      <c r="O30" s="2383"/>
      <c r="P30" s="2383"/>
      <c r="Q30" s="2383"/>
      <c r="R30" s="2383"/>
      <c r="S30" s="2383"/>
      <c r="T30" s="2383"/>
      <c r="U30" s="2383"/>
      <c r="V30" s="2383"/>
      <c r="W30" s="2383"/>
      <c r="X30" s="2383"/>
      <c r="Y30" s="2383"/>
      <c r="Z30" s="2383"/>
      <c r="AA30" s="2384"/>
    </row>
    <row r="31" spans="1:85" ht="18.75" customHeight="1" x14ac:dyDescent="0.25">
      <c r="A31" s="1719" t="s">
        <v>194</v>
      </c>
      <c r="B31" s="1719"/>
      <c r="C31" s="1719"/>
      <c r="D31" s="1719"/>
      <c r="E31" s="1719"/>
      <c r="F31" s="1719"/>
      <c r="G31" s="1719"/>
      <c r="H31" s="1720"/>
      <c r="I31" s="678" t="s">
        <v>196</v>
      </c>
      <c r="J31" s="2383"/>
      <c r="K31" s="2383"/>
      <c r="L31" s="2383"/>
      <c r="M31" s="2383"/>
      <c r="N31" s="2384"/>
      <c r="O31" s="678" t="s">
        <v>197</v>
      </c>
      <c r="P31" s="2383"/>
      <c r="Q31" s="2383"/>
      <c r="R31" s="2383"/>
      <c r="S31" s="2383"/>
      <c r="T31" s="2384"/>
      <c r="U31" s="678" t="s">
        <v>195</v>
      </c>
      <c r="V31" s="2385"/>
      <c r="W31" s="2383"/>
      <c r="X31" s="2383"/>
      <c r="Y31" s="2383"/>
      <c r="Z31" s="2383"/>
      <c r="AA31" s="2384"/>
    </row>
    <row r="32" spans="1:85" ht="15" x14ac:dyDescent="0.25">
      <c r="A32" s="645"/>
      <c r="B32" s="645"/>
      <c r="C32" s="645"/>
      <c r="D32" s="645"/>
      <c r="E32" s="645"/>
      <c r="F32" s="645"/>
      <c r="G32" s="646"/>
      <c r="H32" s="645"/>
      <c r="I32" s="168"/>
      <c r="J32" s="168"/>
      <c r="K32" s="168"/>
      <c r="L32" s="168"/>
      <c r="M32" s="168"/>
      <c r="N32" s="168"/>
      <c r="O32" s="168"/>
      <c r="P32" s="21"/>
    </row>
    <row r="33" spans="1:27" ht="18.75" customHeight="1" x14ac:dyDescent="0.25">
      <c r="A33" s="1718" t="s">
        <v>377</v>
      </c>
      <c r="B33" s="1718"/>
      <c r="C33" s="1718"/>
      <c r="D33" s="1718"/>
      <c r="E33" s="1718"/>
      <c r="F33" s="1718"/>
      <c r="G33" s="1718"/>
      <c r="H33" s="1718"/>
      <c r="I33" s="1718"/>
      <c r="J33" s="1718"/>
      <c r="K33" s="1718"/>
      <c r="L33" s="1718"/>
      <c r="M33" s="1718"/>
      <c r="N33" s="1718"/>
      <c r="O33" s="1718"/>
      <c r="P33" s="1718"/>
      <c r="Q33" s="653"/>
      <c r="R33" s="165"/>
      <c r="S33" s="165"/>
      <c r="T33" s="165"/>
      <c r="U33" s="165"/>
      <c r="V33" s="170"/>
      <c r="W33" s="170"/>
      <c r="X33" s="165"/>
      <c r="Y33" s="165"/>
      <c r="Z33" s="165"/>
      <c r="AA33" s="166"/>
    </row>
    <row r="34" spans="1:27" ht="97.15" customHeight="1" x14ac:dyDescent="0.25">
      <c r="A34" s="2264"/>
      <c r="B34" s="2265"/>
      <c r="C34" s="2265"/>
      <c r="D34" s="2265"/>
      <c r="E34" s="2265"/>
      <c r="F34" s="2265"/>
      <c r="G34" s="2265"/>
      <c r="H34" s="2265"/>
      <c r="I34" s="2265"/>
      <c r="J34" s="2265"/>
      <c r="K34" s="2265"/>
      <c r="L34" s="2265"/>
      <c r="M34" s="2265"/>
      <c r="N34" s="2265"/>
      <c r="O34" s="2265"/>
      <c r="P34" s="2265"/>
      <c r="Q34" s="2265"/>
      <c r="R34" s="2265"/>
      <c r="S34" s="2265"/>
      <c r="T34" s="2265"/>
      <c r="U34" s="2265"/>
      <c r="V34" s="2265"/>
      <c r="W34" s="2265"/>
      <c r="X34" s="2265"/>
      <c r="Y34" s="2265"/>
      <c r="Z34" s="2265"/>
      <c r="AA34" s="2266"/>
    </row>
  </sheetData>
  <mergeCells count="77">
    <mergeCell ref="W4:AA4"/>
    <mergeCell ref="U5:V5"/>
    <mergeCell ref="A1:U1"/>
    <mergeCell ref="A2:AA2"/>
    <mergeCell ref="U3:V3"/>
    <mergeCell ref="W3:AA3"/>
    <mergeCell ref="F3:P3"/>
    <mergeCell ref="U4:V4"/>
    <mergeCell ref="U9:V9"/>
    <mergeCell ref="F4:P4"/>
    <mergeCell ref="F5:P5"/>
    <mergeCell ref="F6:P6"/>
    <mergeCell ref="F9:P9"/>
    <mergeCell ref="A29:H29"/>
    <mergeCell ref="I29:P29"/>
    <mergeCell ref="Q29:R29"/>
    <mergeCell ref="S29:AA29"/>
    <mergeCell ref="A12:P12"/>
    <mergeCell ref="A17:F17"/>
    <mergeCell ref="A13:F13"/>
    <mergeCell ref="R13:U13"/>
    <mergeCell ref="A14:F14"/>
    <mergeCell ref="G14:J14"/>
    <mergeCell ref="K14:L14"/>
    <mergeCell ref="R14:U14"/>
    <mergeCell ref="M13:P13"/>
    <mergeCell ref="M16:P16"/>
    <mergeCell ref="W17:Z17"/>
    <mergeCell ref="A18:F18"/>
    <mergeCell ref="W7:AA7"/>
    <mergeCell ref="U8:V8"/>
    <mergeCell ref="W8:AA8"/>
    <mergeCell ref="F7:P7"/>
    <mergeCell ref="F8:P8"/>
    <mergeCell ref="U7:V7"/>
    <mergeCell ref="B10:Z10"/>
    <mergeCell ref="M14:P14"/>
    <mergeCell ref="A24:H24"/>
    <mergeCell ref="M24:P24"/>
    <mergeCell ref="W24:AA24"/>
    <mergeCell ref="A15:F15"/>
    <mergeCell ref="G15:J15"/>
    <mergeCell ref="K15:L15"/>
    <mergeCell ref="R15:U15"/>
    <mergeCell ref="A16:F16"/>
    <mergeCell ref="R16:U16"/>
    <mergeCell ref="W16:Z16"/>
    <mergeCell ref="M17:P17"/>
    <mergeCell ref="R17:U17"/>
    <mergeCell ref="M15:P15"/>
    <mergeCell ref="R20:U20"/>
    <mergeCell ref="R21:U21"/>
    <mergeCell ref="R23:U23"/>
    <mergeCell ref="M25:P25"/>
    <mergeCell ref="R25:U25"/>
    <mergeCell ref="A20:H20"/>
    <mergeCell ref="M20:P20"/>
    <mergeCell ref="A25:H25"/>
    <mergeCell ref="A23:H23"/>
    <mergeCell ref="M23:P23"/>
    <mergeCell ref="A21:H21"/>
    <mergeCell ref="M21:P21"/>
    <mergeCell ref="A22:H22"/>
    <mergeCell ref="W25:AA25"/>
    <mergeCell ref="A27:P27"/>
    <mergeCell ref="I28:P28"/>
    <mergeCell ref="Q28:R28"/>
    <mergeCell ref="S28:AA28"/>
    <mergeCell ref="A28:H28"/>
    <mergeCell ref="A33:P33"/>
    <mergeCell ref="A34:AA34"/>
    <mergeCell ref="A30:H30"/>
    <mergeCell ref="I30:AA30"/>
    <mergeCell ref="A31:H31"/>
    <mergeCell ref="J31:N31"/>
    <mergeCell ref="P31:T31"/>
    <mergeCell ref="V31:AA31"/>
  </mergeCells>
  <hyperlinks>
    <hyperlink ref="AD5" r:id="rId1"/>
  </hyperlinks>
  <pageMargins left="0.23622047244094491" right="3.937007874015748E-2" top="0.74803149606299213" bottom="0.74803149606299213" header="0.31496062992125984" footer="0"/>
  <pageSetup paperSize="9" scale="92" orientation="portrait" horizontalDpi="4294967295" verticalDpi="4294967295" r:id="rId2"/>
  <headerFooter>
    <oddHeader>&amp;R&amp;G</oddHeader>
  </headerFooter>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AD51"/>
  <sheetViews>
    <sheetView showGridLines="0" view="pageLayout" zoomScaleNormal="100" workbookViewId="0">
      <selection activeCell="C3" sqref="C3:F3"/>
    </sheetView>
  </sheetViews>
  <sheetFormatPr defaultRowHeight="15" x14ac:dyDescent="0.25"/>
  <cols>
    <col min="2" max="2" width="28.5703125" customWidth="1"/>
    <col min="3" max="7" width="12.140625" customWidth="1"/>
    <col min="9" max="9" width="39.28515625" customWidth="1"/>
  </cols>
  <sheetData>
    <row r="2" spans="1:30" ht="26.25" x14ac:dyDescent="0.25">
      <c r="B2" s="2415" t="s">
        <v>654</v>
      </c>
      <c r="C2" s="2416"/>
      <c r="D2" s="2416"/>
      <c r="E2" s="2416"/>
      <c r="F2" s="2417"/>
      <c r="G2" s="516"/>
      <c r="H2" s="356"/>
      <c r="I2" s="575" t="str">
        <f>IF(Funding!G12="Invest","","CARE - Purchase Field is not Invest")</f>
        <v/>
      </c>
      <c r="O2" s="356"/>
      <c r="P2" s="356"/>
      <c r="Q2" s="356"/>
      <c r="R2" s="356"/>
      <c r="S2" s="356"/>
      <c r="T2" s="356"/>
      <c r="U2" s="356"/>
      <c r="V2" s="356"/>
      <c r="W2" s="356"/>
      <c r="X2" s="356"/>
      <c r="Y2" s="356"/>
      <c r="Z2" s="356"/>
      <c r="AA2" s="356"/>
      <c r="AB2" s="356"/>
      <c r="AC2" s="356"/>
      <c r="AD2" s="356"/>
    </row>
    <row r="3" spans="1:30" s="355" customFormat="1" ht="27" thickBot="1" x14ac:dyDescent="0.3">
      <c r="B3" s="574" t="s">
        <v>657</v>
      </c>
      <c r="C3" s="2419">
        <f>+Funding!CI1</f>
        <v>0</v>
      </c>
      <c r="D3" s="2419"/>
      <c r="E3" s="2419"/>
      <c r="F3" s="2419"/>
      <c r="G3" s="523">
        <v>25000</v>
      </c>
      <c r="H3" s="356"/>
      <c r="I3"/>
      <c r="J3"/>
      <c r="K3"/>
      <c r="L3"/>
      <c r="M3"/>
      <c r="N3"/>
      <c r="O3" s="356"/>
      <c r="P3" s="356"/>
      <c r="Q3" s="356"/>
      <c r="R3" s="356"/>
      <c r="S3" s="356"/>
      <c r="T3" s="356"/>
      <c r="U3" s="356"/>
      <c r="V3" s="356"/>
      <c r="W3" s="356"/>
      <c r="X3" s="356"/>
      <c r="Y3" s="356"/>
      <c r="Z3" s="356"/>
      <c r="AA3" s="356"/>
      <c r="AB3" s="356"/>
      <c r="AC3" s="356"/>
      <c r="AD3" s="356"/>
    </row>
    <row r="4" spans="1:30" ht="15.75" thickTop="1" x14ac:dyDescent="0.25">
      <c r="A4" s="524"/>
      <c r="B4" s="525" t="s">
        <v>656</v>
      </c>
      <c r="C4" s="540"/>
      <c r="D4" s="526">
        <f>+E4-G3</f>
        <v>-25000</v>
      </c>
      <c r="E4" s="527">
        <f>+Purchase</f>
        <v>0</v>
      </c>
      <c r="F4" s="528">
        <f>+E4+G3</f>
        <v>25000</v>
      </c>
      <c r="G4" s="529">
        <f>+F4+G3</f>
        <v>50000</v>
      </c>
    </row>
    <row r="5" spans="1:30" x14ac:dyDescent="0.25">
      <c r="B5" s="530" t="s">
        <v>49</v>
      </c>
      <c r="C5" s="540"/>
      <c r="D5" s="531" t="e">
        <f>+D4*D6</f>
        <v>#VALUE!</v>
      </c>
      <c r="E5" s="532" t="str">
        <f>+PurchaseLoanAmount</f>
        <v/>
      </c>
      <c r="F5" s="533" t="e">
        <f>+F4*F6</f>
        <v>#VALUE!</v>
      </c>
      <c r="G5" s="534" t="e">
        <f>+G4*G6</f>
        <v>#VALUE!</v>
      </c>
    </row>
    <row r="6" spans="1:30" x14ac:dyDescent="0.25">
      <c r="B6" s="530" t="s">
        <v>54</v>
      </c>
      <c r="C6" s="540"/>
      <c r="D6" s="535" t="e">
        <f>+E6</f>
        <v>#VALUE!</v>
      </c>
      <c r="E6" s="536" t="e">
        <f>+E5/E4</f>
        <v>#VALUE!</v>
      </c>
      <c r="F6" s="537" t="e">
        <f>+E6</f>
        <v>#VALUE!</v>
      </c>
      <c r="G6" s="538" t="e">
        <f>+F6</f>
        <v>#VALUE!</v>
      </c>
    </row>
    <row r="7" spans="1:30" x14ac:dyDescent="0.25">
      <c r="B7" s="530" t="s">
        <v>537</v>
      </c>
      <c r="C7" s="540"/>
      <c r="D7" s="531" t="e">
        <f>+E7*(1+((D4-E4)/E4))</f>
        <v>#REF!</v>
      </c>
      <c r="E7" s="532" t="e">
        <f>+SUM(#REF!)</f>
        <v>#REF!</v>
      </c>
      <c r="F7" s="533" t="e">
        <f>+E7*(1+((F4-E4)/E4))</f>
        <v>#REF!</v>
      </c>
      <c r="G7" s="534" t="e">
        <f>+E7*(1+((G4-E4)/E4))</f>
        <v>#REF!</v>
      </c>
    </row>
    <row r="8" spans="1:30" x14ac:dyDescent="0.25">
      <c r="B8" s="539"/>
      <c r="C8" s="540"/>
      <c r="D8" s="541"/>
      <c r="E8" s="542"/>
      <c r="F8" s="541"/>
      <c r="G8" s="541"/>
    </row>
    <row r="9" spans="1:30" x14ac:dyDescent="0.25">
      <c r="B9" s="543" t="s">
        <v>51</v>
      </c>
      <c r="C9" s="540"/>
      <c r="D9" s="544">
        <f>+E9</f>
        <v>0.04</v>
      </c>
      <c r="E9" s="545">
        <f>+Funding!E30</f>
        <v>0.04</v>
      </c>
      <c r="F9" s="546">
        <f>+E9</f>
        <v>0.04</v>
      </c>
      <c r="G9" s="547">
        <f>+F9</f>
        <v>0.04</v>
      </c>
    </row>
    <row r="10" spans="1:30" x14ac:dyDescent="0.25">
      <c r="B10" s="543" t="s">
        <v>52</v>
      </c>
      <c r="C10" s="540"/>
      <c r="D10" s="548" t="e">
        <f>+D5*D9/12</f>
        <v>#VALUE!</v>
      </c>
      <c r="E10" s="549" t="e">
        <f>+E5*E9/12</f>
        <v>#VALUE!</v>
      </c>
      <c r="F10" s="550" t="e">
        <f>+F5*F9/12</f>
        <v>#VALUE!</v>
      </c>
      <c r="G10" s="551" t="e">
        <f>+G5*G9/12</f>
        <v>#VALUE!</v>
      </c>
    </row>
    <row r="11" spans="1:30" x14ac:dyDescent="0.25">
      <c r="B11" s="543" t="s">
        <v>53</v>
      </c>
      <c r="C11" s="540"/>
      <c r="D11" s="548" t="e">
        <f>PMT(D9/12,30*12,-D5)</f>
        <v>#VALUE!</v>
      </c>
      <c r="E11" s="549" t="e">
        <f>PMT(E9/12,30*12,-E5)</f>
        <v>#VALUE!</v>
      </c>
      <c r="F11" s="550" t="e">
        <f>PMT(F9/12,30*12,-F5)</f>
        <v>#VALUE!</v>
      </c>
      <c r="G11" s="551" t="e">
        <f>PMT(G9/12,30*12,-G5)</f>
        <v>#VALUE!</v>
      </c>
    </row>
    <row r="12" spans="1:30" x14ac:dyDescent="0.25">
      <c r="B12" s="485"/>
      <c r="C12" s="540"/>
      <c r="D12" s="485"/>
      <c r="E12" s="552"/>
      <c r="F12" s="485"/>
      <c r="G12" s="485"/>
    </row>
    <row r="13" spans="1:30" x14ac:dyDescent="0.25">
      <c r="B13" s="553" t="s">
        <v>55</v>
      </c>
      <c r="C13" s="540"/>
      <c r="D13" s="485"/>
      <c r="E13" s="552"/>
      <c r="F13" s="485"/>
      <c r="G13" s="485"/>
    </row>
    <row r="14" spans="1:30" x14ac:dyDescent="0.25">
      <c r="B14" s="543" t="s">
        <v>57</v>
      </c>
      <c r="C14" s="540"/>
      <c r="D14" s="548" t="e">
        <f>+D7</f>
        <v>#REF!</v>
      </c>
      <c r="E14" s="549" t="e">
        <f>+E7</f>
        <v>#REF!</v>
      </c>
      <c r="F14" s="550" t="e">
        <f>+F7</f>
        <v>#REF!</v>
      </c>
      <c r="G14" s="551" t="e">
        <f>+G7</f>
        <v>#REF!</v>
      </c>
    </row>
    <row r="15" spans="1:30" x14ac:dyDescent="0.25">
      <c r="B15" s="530" t="s">
        <v>56</v>
      </c>
      <c r="C15" s="540"/>
      <c r="D15" s="554" t="e">
        <f>+D14*52/D4</f>
        <v>#REF!</v>
      </c>
      <c r="E15" s="555" t="e">
        <f>+E14*52/E4</f>
        <v>#REF!</v>
      </c>
      <c r="F15" s="556" t="e">
        <f>+F14*52/F4</f>
        <v>#REF!</v>
      </c>
      <c r="G15" s="557" t="e">
        <f>+G14*52/G4</f>
        <v>#REF!</v>
      </c>
    </row>
    <row r="16" spans="1:30" x14ac:dyDescent="0.25">
      <c r="B16" s="558" t="s">
        <v>659</v>
      </c>
      <c r="C16" s="581"/>
      <c r="D16" s="559" t="e">
        <f>+D14*52</f>
        <v>#REF!</v>
      </c>
      <c r="E16" s="560" t="e">
        <f>+E14*52</f>
        <v>#REF!</v>
      </c>
      <c r="F16" s="561" t="e">
        <f>+F14*52</f>
        <v>#REF!</v>
      </c>
      <c r="G16" s="562" t="e">
        <f>+G14*52</f>
        <v>#REF!</v>
      </c>
    </row>
    <row r="17" spans="1:7" x14ac:dyDescent="0.25">
      <c r="A17" s="4"/>
      <c r="B17" s="485"/>
      <c r="C17" s="580" t="s">
        <v>454</v>
      </c>
      <c r="D17" s="485"/>
      <c r="E17" s="563"/>
    </row>
    <row r="18" spans="1:7" x14ac:dyDescent="0.25">
      <c r="A18" s="4"/>
      <c r="B18" s="543" t="s">
        <v>58</v>
      </c>
      <c r="C18" s="577">
        <v>0.06</v>
      </c>
      <c r="D18" s="564" t="e">
        <f>-D$16*$C18</f>
        <v>#REF!</v>
      </c>
      <c r="E18" s="549" t="e">
        <f>-E$16*$C18</f>
        <v>#REF!</v>
      </c>
      <c r="F18" s="550" t="e">
        <f t="shared" ref="F18:G23" si="0">-F$16*$C18</f>
        <v>#REF!</v>
      </c>
      <c r="G18" s="551" t="e">
        <f t="shared" si="0"/>
        <v>#REF!</v>
      </c>
    </row>
    <row r="19" spans="1:7" x14ac:dyDescent="0.25">
      <c r="A19" s="4"/>
      <c r="B19" s="543" t="s">
        <v>59</v>
      </c>
      <c r="C19" s="578">
        <v>0.05</v>
      </c>
      <c r="D19" s="564" t="e">
        <f t="shared" ref="D19:E23" si="1">-D$16*$C19</f>
        <v>#REF!</v>
      </c>
      <c r="E19" s="549" t="e">
        <f t="shared" si="1"/>
        <v>#REF!</v>
      </c>
      <c r="F19" s="550" t="e">
        <f t="shared" si="0"/>
        <v>#REF!</v>
      </c>
      <c r="G19" s="551" t="e">
        <f t="shared" si="0"/>
        <v>#REF!</v>
      </c>
    </row>
    <row r="20" spans="1:7" x14ac:dyDescent="0.25">
      <c r="A20" s="4"/>
      <c r="B20" s="543" t="s">
        <v>60</v>
      </c>
      <c r="C20" s="578">
        <v>0.05</v>
      </c>
      <c r="D20" s="564" t="e">
        <f t="shared" si="1"/>
        <v>#REF!</v>
      </c>
      <c r="E20" s="549" t="e">
        <f t="shared" si="1"/>
        <v>#REF!</v>
      </c>
      <c r="F20" s="550" t="e">
        <f t="shared" si="0"/>
        <v>#REF!</v>
      </c>
      <c r="G20" s="551" t="e">
        <f t="shared" si="0"/>
        <v>#REF!</v>
      </c>
    </row>
    <row r="21" spans="1:7" x14ac:dyDescent="0.25">
      <c r="A21" s="4"/>
      <c r="B21" s="543" t="s">
        <v>61</v>
      </c>
      <c r="C21" s="578">
        <v>0.02</v>
      </c>
      <c r="D21" s="564" t="e">
        <f t="shared" si="1"/>
        <v>#REF!</v>
      </c>
      <c r="E21" s="549" t="e">
        <f t="shared" si="1"/>
        <v>#REF!</v>
      </c>
      <c r="F21" s="550" t="e">
        <f t="shared" si="0"/>
        <v>#REF!</v>
      </c>
      <c r="G21" s="551" t="e">
        <f t="shared" si="0"/>
        <v>#REF!</v>
      </c>
    </row>
    <row r="22" spans="1:7" x14ac:dyDescent="0.25">
      <c r="A22" s="4"/>
      <c r="B22" s="543" t="s">
        <v>62</v>
      </c>
      <c r="C22" s="578">
        <v>0.01</v>
      </c>
      <c r="D22" s="564" t="e">
        <f t="shared" si="1"/>
        <v>#REF!</v>
      </c>
      <c r="E22" s="549" t="e">
        <f t="shared" si="1"/>
        <v>#REF!</v>
      </c>
      <c r="F22" s="550" t="e">
        <f t="shared" si="0"/>
        <v>#REF!</v>
      </c>
      <c r="G22" s="551" t="e">
        <f t="shared" si="0"/>
        <v>#REF!</v>
      </c>
    </row>
    <row r="23" spans="1:7" x14ac:dyDescent="0.25">
      <c r="A23" s="4"/>
      <c r="B23" s="543" t="s">
        <v>63</v>
      </c>
      <c r="C23" s="578">
        <v>0.01</v>
      </c>
      <c r="D23" s="564" t="e">
        <f t="shared" si="1"/>
        <v>#REF!</v>
      </c>
      <c r="E23" s="549" t="e">
        <f t="shared" si="1"/>
        <v>#REF!</v>
      </c>
      <c r="F23" s="550" t="e">
        <f t="shared" si="0"/>
        <v>#REF!</v>
      </c>
      <c r="G23" s="551" t="e">
        <f t="shared" si="0"/>
        <v>#REF!</v>
      </c>
    </row>
    <row r="24" spans="1:7" x14ac:dyDescent="0.25">
      <c r="A24" s="4"/>
      <c r="B24" s="530" t="s">
        <v>538</v>
      </c>
      <c r="C24" s="576">
        <f>SUM(C18:C23)</f>
        <v>0.2</v>
      </c>
      <c r="D24" s="531" t="e">
        <f>SUM(D18:D23)</f>
        <v>#REF!</v>
      </c>
      <c r="E24" s="532" t="e">
        <f>SUM(E18:E23)</f>
        <v>#REF!</v>
      </c>
      <c r="F24" s="533" t="e">
        <f>SUM(F18:F23)</f>
        <v>#REF!</v>
      </c>
      <c r="G24" s="534" t="e">
        <f>SUM(G18:G23)</f>
        <v>#REF!</v>
      </c>
    </row>
    <row r="25" spans="1:7" x14ac:dyDescent="0.25">
      <c r="A25" s="4"/>
      <c r="B25" s="558" t="s">
        <v>658</v>
      </c>
      <c r="C25" s="576">
        <f>1-C24</f>
        <v>0.8</v>
      </c>
      <c r="D25" s="559" t="e">
        <f>+D16+D24</f>
        <v>#REF!</v>
      </c>
      <c r="E25" s="560" t="e">
        <f>+E16+E24</f>
        <v>#REF!</v>
      </c>
      <c r="F25" s="561" t="e">
        <f>+F16+F24</f>
        <v>#REF!</v>
      </c>
      <c r="G25" s="562" t="e">
        <f>+G16+G24</f>
        <v>#REF!</v>
      </c>
    </row>
    <row r="26" spans="1:7" x14ac:dyDescent="0.25">
      <c r="A26" s="4"/>
      <c r="B26" s="485"/>
      <c r="C26" s="485"/>
      <c r="D26" s="485"/>
      <c r="E26" s="552"/>
      <c r="F26" s="485"/>
      <c r="G26" s="485"/>
    </row>
    <row r="27" spans="1:7" x14ac:dyDescent="0.25">
      <c r="A27" s="4"/>
      <c r="B27" s="543" t="s">
        <v>64</v>
      </c>
      <c r="C27" s="565">
        <f>+E9</f>
        <v>0.04</v>
      </c>
      <c r="D27" s="548" t="e">
        <f>-D10*12</f>
        <v>#VALUE!</v>
      </c>
      <c r="E27" s="549" t="e">
        <f>-E10*12</f>
        <v>#VALUE!</v>
      </c>
      <c r="F27" s="550" t="e">
        <f>-F10*12</f>
        <v>#VALUE!</v>
      </c>
      <c r="G27" s="551" t="e">
        <f>-G10*12</f>
        <v>#VALUE!</v>
      </c>
    </row>
    <row r="28" spans="1:7" x14ac:dyDescent="0.25">
      <c r="A28" s="4"/>
      <c r="B28" s="543" t="s">
        <v>65</v>
      </c>
      <c r="C28" s="579">
        <v>0</v>
      </c>
      <c r="D28" s="548">
        <f>+E28</f>
        <v>0</v>
      </c>
      <c r="E28" s="549">
        <f>-C28</f>
        <v>0</v>
      </c>
      <c r="F28" s="550">
        <f>+E28</f>
        <v>0</v>
      </c>
      <c r="G28" s="551">
        <f>+E28</f>
        <v>0</v>
      </c>
    </row>
    <row r="29" spans="1:7" x14ac:dyDescent="0.25">
      <c r="A29" s="4"/>
      <c r="B29" s="530" t="s">
        <v>539</v>
      </c>
      <c r="C29" s="485"/>
      <c r="D29" s="531" t="e">
        <f>SUM(D27:D28)</f>
        <v>#VALUE!</v>
      </c>
      <c r="E29" s="532" t="e">
        <f>SUM(E27:E28)</f>
        <v>#VALUE!</v>
      </c>
      <c r="F29" s="533" t="e">
        <f>SUM(F27:F28)</f>
        <v>#VALUE!</v>
      </c>
      <c r="G29" s="534" t="e">
        <f>SUM(G27:G28)</f>
        <v>#VALUE!</v>
      </c>
    </row>
    <row r="30" spans="1:7" x14ac:dyDescent="0.25">
      <c r="B30" s="485"/>
      <c r="C30" s="485"/>
      <c r="D30" s="485"/>
      <c r="E30" s="552"/>
      <c r="F30" s="485"/>
      <c r="G30" s="485"/>
    </row>
    <row r="31" spans="1:7" x14ac:dyDescent="0.25">
      <c r="B31" s="530" t="s">
        <v>473</v>
      </c>
      <c r="C31" s="485"/>
      <c r="D31" s="531" t="e">
        <f>+D16</f>
        <v>#REF!</v>
      </c>
      <c r="E31" s="532" t="e">
        <f>+E16</f>
        <v>#REF!</v>
      </c>
      <c r="F31" s="533" t="e">
        <f>+F16</f>
        <v>#REF!</v>
      </c>
      <c r="G31" s="534" t="e">
        <f>+G16</f>
        <v>#REF!</v>
      </c>
    </row>
    <row r="32" spans="1:7" x14ac:dyDescent="0.25">
      <c r="B32" s="567" t="s">
        <v>544</v>
      </c>
      <c r="C32" s="485"/>
      <c r="D32" s="568" t="e">
        <f>+D31+D24+D29</f>
        <v>#REF!</v>
      </c>
      <c r="E32" s="560" t="e">
        <f>+E31+E24+E29</f>
        <v>#REF!</v>
      </c>
      <c r="F32" s="569" t="e">
        <f>+F31+F24+F29</f>
        <v>#REF!</v>
      </c>
      <c r="G32" s="570" t="e">
        <f>+G31+G24+G29</f>
        <v>#REF!</v>
      </c>
    </row>
    <row r="33" spans="2:30" x14ac:dyDescent="0.25">
      <c r="E33" s="563"/>
    </row>
    <row r="34" spans="2:30" x14ac:dyDescent="0.25">
      <c r="B34" s="543" t="s">
        <v>540</v>
      </c>
      <c r="C34" s="578">
        <v>0.03</v>
      </c>
      <c r="D34" s="564" t="e">
        <f t="shared" ref="D34:E36" si="2">-D$16*$C34</f>
        <v>#REF!</v>
      </c>
      <c r="E34" s="549" t="e">
        <f t="shared" si="2"/>
        <v>#REF!</v>
      </c>
      <c r="F34" s="550" t="e">
        <f t="shared" ref="F34:G36" si="3">-F$16*$C34</f>
        <v>#REF!</v>
      </c>
      <c r="G34" s="551" t="e">
        <f t="shared" si="3"/>
        <v>#REF!</v>
      </c>
    </row>
    <row r="35" spans="2:30" x14ac:dyDescent="0.25">
      <c r="B35" s="543" t="s">
        <v>541</v>
      </c>
      <c r="C35" s="578">
        <v>0.02</v>
      </c>
      <c r="D35" s="564" t="e">
        <f t="shared" si="2"/>
        <v>#REF!</v>
      </c>
      <c r="E35" s="549" t="e">
        <f t="shared" si="2"/>
        <v>#REF!</v>
      </c>
      <c r="F35" s="550" t="e">
        <f t="shared" si="3"/>
        <v>#REF!</v>
      </c>
      <c r="G35" s="551" t="e">
        <f t="shared" si="3"/>
        <v>#REF!</v>
      </c>
    </row>
    <row r="36" spans="2:30" x14ac:dyDescent="0.25">
      <c r="B36" s="543" t="s">
        <v>542</v>
      </c>
      <c r="C36" s="578">
        <v>0.05</v>
      </c>
      <c r="D36" s="564" t="e">
        <f t="shared" si="2"/>
        <v>#REF!</v>
      </c>
      <c r="E36" s="549" t="e">
        <f t="shared" si="2"/>
        <v>#REF!</v>
      </c>
      <c r="F36" s="550" t="e">
        <f t="shared" si="3"/>
        <v>#REF!</v>
      </c>
      <c r="G36" s="551" t="e">
        <f t="shared" si="3"/>
        <v>#REF!</v>
      </c>
    </row>
    <row r="37" spans="2:30" x14ac:dyDescent="0.25">
      <c r="B37" s="530" t="s">
        <v>543</v>
      </c>
      <c r="C37" s="566">
        <f>SUM(C34:C36)</f>
        <v>0.1</v>
      </c>
      <c r="D37" s="531" t="e">
        <f>SUM(D34:D36)</f>
        <v>#REF!</v>
      </c>
      <c r="E37" s="532" t="e">
        <f>SUM(E34:E36)</f>
        <v>#REF!</v>
      </c>
      <c r="F37" s="533" t="e">
        <f>SUM(F34:F36)</f>
        <v>#REF!</v>
      </c>
      <c r="G37" s="534" t="e">
        <f>SUM(G34:G36)</f>
        <v>#REF!</v>
      </c>
    </row>
    <row r="38" spans="2:30" x14ac:dyDescent="0.25">
      <c r="B38" s="485"/>
      <c r="C38" s="485"/>
      <c r="D38" s="485"/>
      <c r="E38" s="552"/>
      <c r="F38" s="485"/>
      <c r="G38" s="485"/>
    </row>
    <row r="39" spans="2:30" ht="15.75" thickBot="1" x14ac:dyDescent="0.3">
      <c r="B39" s="558" t="s">
        <v>653</v>
      </c>
      <c r="C39" s="485"/>
      <c r="D39" s="559" t="e">
        <f>+D32+D37</f>
        <v>#REF!</v>
      </c>
      <c r="E39" s="572" t="e">
        <f>+E32+E37</f>
        <v>#REF!</v>
      </c>
      <c r="F39" s="561" t="e">
        <f>+F32+F37</f>
        <v>#REF!</v>
      </c>
      <c r="G39" s="562" t="e">
        <f>+G32+G37</f>
        <v>#REF!</v>
      </c>
    </row>
    <row r="40" spans="2:30" ht="15.75" thickTop="1" x14ac:dyDescent="0.25"/>
    <row r="41" spans="2:30" ht="60.6" customHeight="1" x14ac:dyDescent="0.25"/>
    <row r="42" spans="2:30" ht="26.25" x14ac:dyDescent="0.25">
      <c r="B42" s="2415" t="s">
        <v>655</v>
      </c>
      <c r="C42" s="2416"/>
      <c r="D42" s="2416"/>
      <c r="E42" s="2416"/>
      <c r="F42" s="2417"/>
      <c r="G42" s="516"/>
      <c r="H42" s="356"/>
      <c r="I42" s="2418"/>
      <c r="J42" s="2418"/>
      <c r="K42" s="2418"/>
      <c r="L42" s="2418"/>
      <c r="M42" s="2418"/>
      <c r="N42" s="2418"/>
      <c r="O42" s="356"/>
      <c r="P42" s="356"/>
      <c r="Q42" s="356"/>
      <c r="R42" s="356"/>
      <c r="S42" s="356"/>
      <c r="T42" s="356"/>
      <c r="U42" s="356"/>
      <c r="V42" s="356"/>
      <c r="W42" s="356"/>
      <c r="X42" s="356"/>
      <c r="Y42" s="356"/>
      <c r="Z42" s="356"/>
      <c r="AA42" s="356"/>
      <c r="AB42" s="356"/>
      <c r="AC42" s="356"/>
      <c r="AD42" s="356"/>
    </row>
    <row r="43" spans="2:30" ht="15.75" thickBot="1" x14ac:dyDescent="0.3"/>
    <row r="44" spans="2:30" ht="15.75" thickTop="1" x14ac:dyDescent="0.25">
      <c r="B44" s="558" t="s">
        <v>656</v>
      </c>
      <c r="C44" s="540"/>
      <c r="D44" s="590">
        <f>+D4</f>
        <v>-25000</v>
      </c>
      <c r="E44" s="527">
        <f>+E4</f>
        <v>0</v>
      </c>
      <c r="F44" s="591">
        <f>+F4</f>
        <v>25000</v>
      </c>
      <c r="G44" s="592">
        <f>+G4</f>
        <v>50000</v>
      </c>
    </row>
    <row r="45" spans="2:30" x14ac:dyDescent="0.25">
      <c r="B45" s="582" t="s">
        <v>659</v>
      </c>
      <c r="C45" s="581"/>
      <c r="D45" s="584" t="e">
        <f>+D16</f>
        <v>#REF!</v>
      </c>
      <c r="E45" s="532" t="e">
        <f>+E16</f>
        <v>#REF!</v>
      </c>
      <c r="F45" s="585" t="e">
        <f>+F16</f>
        <v>#REF!</v>
      </c>
      <c r="G45" s="586" t="e">
        <f>+G16</f>
        <v>#REF!</v>
      </c>
    </row>
    <row r="46" spans="2:30" x14ac:dyDescent="0.25">
      <c r="B46" s="582" t="str">
        <f t="shared" ref="B46:G46" si="4">+B25</f>
        <v>Proposed Net Income</v>
      </c>
      <c r="C46" s="576">
        <f t="shared" si="4"/>
        <v>0.8</v>
      </c>
      <c r="D46" s="584" t="e">
        <f t="shared" si="4"/>
        <v>#REF!</v>
      </c>
      <c r="E46" s="532" t="e">
        <f t="shared" si="4"/>
        <v>#REF!</v>
      </c>
      <c r="F46" s="585" t="e">
        <f t="shared" si="4"/>
        <v>#REF!</v>
      </c>
      <c r="G46" s="586" t="e">
        <f t="shared" si="4"/>
        <v>#REF!</v>
      </c>
    </row>
    <row r="47" spans="2:30" x14ac:dyDescent="0.25">
      <c r="B47" s="583" t="str">
        <f>+B32</f>
        <v>Net Income</v>
      </c>
      <c r="C47" s="485"/>
      <c r="D47" s="587" t="e">
        <f>+D32</f>
        <v>#REF!</v>
      </c>
      <c r="E47" s="532" t="e">
        <f>+E32</f>
        <v>#REF!</v>
      </c>
      <c r="F47" s="588" t="e">
        <f>+F32</f>
        <v>#REF!</v>
      </c>
      <c r="G47" s="589" t="e">
        <f>+G32</f>
        <v>#REF!</v>
      </c>
    </row>
    <row r="48" spans="2:30" ht="15.75" thickBot="1" x14ac:dyDescent="0.3">
      <c r="B48" s="582" t="str">
        <f>+B39</f>
        <v>Taxable Income (Gearing)</v>
      </c>
      <c r="C48" s="485"/>
      <c r="D48" s="584" t="e">
        <f>+D39</f>
        <v>#REF!</v>
      </c>
      <c r="E48" s="571" t="e">
        <f>+E39</f>
        <v>#REF!</v>
      </c>
      <c r="F48" s="585" t="e">
        <f>+F39</f>
        <v>#REF!</v>
      </c>
      <c r="G48" s="586" t="e">
        <f>+G39</f>
        <v>#REF!</v>
      </c>
    </row>
    <row r="49" spans="2:5" ht="15.75" thickTop="1" x14ac:dyDescent="0.25"/>
    <row r="50" spans="2:5" x14ac:dyDescent="0.25">
      <c r="B50" t="s">
        <v>660</v>
      </c>
      <c r="E50" s="593" t="e">
        <f>+#REF!</f>
        <v>#REF!</v>
      </c>
    </row>
    <row r="51" spans="2:5" x14ac:dyDescent="0.25">
      <c r="B51" t="s">
        <v>661</v>
      </c>
      <c r="E51" s="593" t="e">
        <f>+#REF!</f>
        <v>#REF!</v>
      </c>
    </row>
  </sheetData>
  <sheetProtection sheet="1" objects="1" scenarios="1"/>
  <mergeCells count="4">
    <mergeCell ref="B2:F2"/>
    <mergeCell ref="B42:F42"/>
    <mergeCell ref="I42:N42"/>
    <mergeCell ref="C3:F3"/>
  </mergeCells>
  <hyperlinks>
    <hyperlink ref="I2" location="Purch!A1" display="Purch!A1"/>
  </hyperlinks>
  <pageMargins left="0.23622047244094491" right="0.23622047244094491" top="0.74803149606299213" bottom="0.74803149606299213" header="0.31496062992125984" footer="0"/>
  <pageSetup paperSize="9" scale="82" orientation="portrait" r:id="rId1"/>
  <rowBreaks count="1" manualBreakCount="1">
    <brk id="40"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8"/>
  <sheetViews>
    <sheetView workbookViewId="0">
      <selection activeCell="B27" sqref="B27"/>
    </sheetView>
  </sheetViews>
  <sheetFormatPr defaultRowHeight="15" x14ac:dyDescent="0.25"/>
  <cols>
    <col min="1" max="1" width="15" style="299" customWidth="1"/>
    <col min="2" max="2" width="6.140625" style="299" bestFit="1" customWidth="1"/>
    <col min="3" max="3" width="8" style="299" bestFit="1" customWidth="1"/>
    <col min="4" max="4" width="5.5703125" style="3" bestFit="1" customWidth="1"/>
    <col min="5" max="5" width="6.5703125" style="299" bestFit="1" customWidth="1"/>
    <col min="6" max="6" width="5.5703125" style="299" bestFit="1" customWidth="1"/>
    <col min="7" max="17" width="11.42578125" style="4" customWidth="1"/>
  </cols>
  <sheetData>
    <row r="1" spans="1:40" x14ac:dyDescent="0.25">
      <c r="A1" s="299" t="s">
        <v>687</v>
      </c>
      <c r="B1" s="299" t="s">
        <v>29</v>
      </c>
      <c r="C1" s="299" t="s">
        <v>77</v>
      </c>
      <c r="D1" s="3" t="s">
        <v>78</v>
      </c>
      <c r="E1" s="299" t="s">
        <v>166</v>
      </c>
      <c r="F1" s="3" t="s">
        <v>78</v>
      </c>
      <c r="G1" s="4" t="s">
        <v>1059</v>
      </c>
      <c r="H1" s="4" t="s">
        <v>1060</v>
      </c>
      <c r="I1" s="4" t="s">
        <v>1061</v>
      </c>
      <c r="J1" s="4" t="s">
        <v>1062</v>
      </c>
      <c r="K1" s="4" t="s">
        <v>1063</v>
      </c>
      <c r="L1" s="4" t="s">
        <v>1064</v>
      </c>
      <c r="M1" s="4" t="s">
        <v>1065</v>
      </c>
      <c r="N1" s="4" t="s">
        <v>1066</v>
      </c>
      <c r="O1" s="4" t="s">
        <v>1067</v>
      </c>
      <c r="P1" s="4" t="s">
        <v>1068</v>
      </c>
      <c r="Q1" s="4" t="s">
        <v>1069</v>
      </c>
      <c r="R1" s="4" t="s">
        <v>1073</v>
      </c>
      <c r="S1" s="4" t="s">
        <v>1074</v>
      </c>
      <c r="T1" s="4" t="s">
        <v>1075</v>
      </c>
      <c r="U1" s="4" t="s">
        <v>1076</v>
      </c>
      <c r="V1" s="4" t="s">
        <v>1077</v>
      </c>
      <c r="W1" s="4" t="s">
        <v>1078</v>
      </c>
      <c r="X1" s="4" t="s">
        <v>1079</v>
      </c>
      <c r="Y1" s="4" t="s">
        <v>1080</v>
      </c>
      <c r="Z1" s="4" t="s">
        <v>1081</v>
      </c>
      <c r="AA1" s="4" t="s">
        <v>1082</v>
      </c>
      <c r="AB1" s="4" t="s">
        <v>1083</v>
      </c>
      <c r="AC1" s="4" t="s">
        <v>1084</v>
      </c>
      <c r="AD1" s="4" t="s">
        <v>1085</v>
      </c>
      <c r="AE1" s="4" t="s">
        <v>1086</v>
      </c>
      <c r="AF1" s="4" t="s">
        <v>1087</v>
      </c>
      <c r="AG1" s="4" t="s">
        <v>1088</v>
      </c>
      <c r="AH1" s="4" t="s">
        <v>1089</v>
      </c>
      <c r="AI1" s="4" t="s">
        <v>1090</v>
      </c>
      <c r="AJ1" s="4" t="s">
        <v>1091</v>
      </c>
      <c r="AK1" s="4" t="s">
        <v>1092</v>
      </c>
      <c r="AL1" s="4"/>
      <c r="AM1" s="4"/>
      <c r="AN1" s="4"/>
    </row>
    <row r="2" spans="1:40" x14ac:dyDescent="0.25">
      <c r="A2" s="299" t="s">
        <v>520</v>
      </c>
      <c r="B2" s="1051">
        <f>+Funding!AP22</f>
        <v>0</v>
      </c>
      <c r="C2" s="1045">
        <f>+G2*B2/12</f>
        <v>0</v>
      </c>
      <c r="D2" s="3">
        <f>+Funding!AK22</f>
        <v>0</v>
      </c>
      <c r="E2" s="1045">
        <f>+Funding!AQ22</f>
        <v>0</v>
      </c>
      <c r="F2" s="3">
        <f>SUM(Funding!AO22)-SUM(Funding!AK22)</f>
        <v>0</v>
      </c>
      <c r="G2" s="1046">
        <f>+Funding!AD22</f>
        <v>0</v>
      </c>
      <c r="H2" s="1046">
        <f>IF(SUM($D2)&gt;1,FV(+$B2/12,6,$E2,-G2),+G2)</f>
        <v>0</v>
      </c>
      <c r="I2" s="1046">
        <f>IF(SUM($D2)&gt;2,FV(+$B2/12,6,$E2,-H2),+H2)</f>
        <v>0</v>
      </c>
      <c r="J2" s="1046">
        <f>IF(SUM($D2)&gt;3,FV(+$B2/12,6,$E2,-I2),+I2)</f>
        <v>0</v>
      </c>
      <c r="K2" s="1046">
        <f>IF(SUM($D2)&gt;4,FV(+$B2/12,6,$E2,-J2),+J2)</f>
        <v>0</v>
      </c>
      <c r="L2" s="1046">
        <f>IF(SUM($D2)&gt;5,FV(+$B2/12,6,$E2,-K2),+K2)</f>
        <v>0</v>
      </c>
      <c r="M2" s="1046">
        <f>IF(SUM($D2)&gt;6,FV(+$B2/12,6,$E2,-L2),+L2)</f>
        <v>0</v>
      </c>
      <c r="N2" s="1046">
        <f>IF(SUM($D2)&gt;7,FV(+$B2/12,6,$E2,-M2),+M2)</f>
        <v>0</v>
      </c>
      <c r="O2" s="1046">
        <f>IF(SUM($D2)&lt;8,FV(+$B2/12,6,$E2,-N2),+N2)</f>
        <v>0</v>
      </c>
      <c r="P2" s="1046">
        <f>IF(SUM($D2)&lt;9,FV(+$B2/12,6,$E2,-O2),+O2)</f>
        <v>0</v>
      </c>
      <c r="Q2" s="1046">
        <f>IF(SUM($D2)&lt;10,FV(+$B2/12,6,$E2,-P2),+P2)</f>
        <v>0</v>
      </c>
      <c r="R2" s="1046">
        <f t="shared" ref="R2:S5" si="0">FV(+$B2/12,12,$E2,-Q2,0)</f>
        <v>0</v>
      </c>
      <c r="S2" s="1046">
        <f t="shared" si="0"/>
        <v>0</v>
      </c>
      <c r="T2" s="4"/>
      <c r="U2" s="4"/>
      <c r="V2" s="4"/>
      <c r="W2" s="4"/>
      <c r="X2" s="4"/>
      <c r="Y2" s="4"/>
      <c r="Z2" s="4"/>
      <c r="AA2" s="4"/>
      <c r="AB2" s="4"/>
      <c r="AC2" s="4"/>
      <c r="AD2" s="4"/>
      <c r="AE2" s="4"/>
      <c r="AF2" s="4"/>
      <c r="AG2" s="4"/>
      <c r="AH2" s="4"/>
      <c r="AI2" s="4"/>
      <c r="AJ2" s="4"/>
      <c r="AK2" s="4"/>
      <c r="AL2" s="4"/>
      <c r="AM2" s="4"/>
      <c r="AN2" s="4"/>
    </row>
    <row r="3" spans="1:40" x14ac:dyDescent="0.25">
      <c r="A3" s="299" t="s">
        <v>521</v>
      </c>
      <c r="B3" s="1051">
        <f>+Funding!AP23</f>
        <v>0</v>
      </c>
      <c r="C3" s="1045">
        <f>+G3*B3/12</f>
        <v>0</v>
      </c>
      <c r="D3" s="3">
        <f>+Funding!AK23</f>
        <v>0</v>
      </c>
      <c r="E3" s="1045">
        <f>+Funding!AQ23</f>
        <v>0</v>
      </c>
      <c r="F3" s="3">
        <f>SUM(Funding!AO23)-SUM(Funding!AK23)</f>
        <v>0</v>
      </c>
      <c r="G3" s="1046">
        <f>+Funding!AD23</f>
        <v>0</v>
      </c>
      <c r="H3" s="1046">
        <f>IF(SUM($D3)&lt;1,FV(+$B3/12,6,$E3,-G3),+G3)</f>
        <v>0</v>
      </c>
      <c r="I3" s="1046">
        <f>IF(SUM($D3)&lt;2,FV(+$B3/12,6,$E3,-H3),+H3)</f>
        <v>0</v>
      </c>
      <c r="J3" s="1046">
        <f>IF(SUM($D3)&lt;3,FV(+$B3/12,6,$E3,-I3),+I3)</f>
        <v>0</v>
      </c>
      <c r="K3" s="1046">
        <f>IF(SUM($D3)&lt;4,FV(+$B3/12,6,$E3,-J3),+J3)</f>
        <v>0</v>
      </c>
      <c r="L3" s="1046">
        <f>IF(SUM($D3)&lt;5,FV(+$B3/12,6,$E3,-K3),+K3)</f>
        <v>0</v>
      </c>
      <c r="M3" s="1046">
        <f>IF(SUM($D3)&lt;6,FV(+$B3/12,6,$E3,-L3),+L3)</f>
        <v>0</v>
      </c>
      <c r="N3" s="1046">
        <f>IF(SUM($D3)&lt;7,FV(+$B3/12,6,$E3,-M3),+M3)</f>
        <v>0</v>
      </c>
      <c r="O3" s="1046">
        <f>IF(SUM($D3)&lt;8,FV(+$B3/12,6,$E3,-N3),+N3)</f>
        <v>0</v>
      </c>
      <c r="P3" s="1046">
        <f>IF(SUM($D3)&lt;9,FV(+$B3/12,6,$E3,-O3),+O3)</f>
        <v>0</v>
      </c>
      <c r="Q3" s="1046">
        <f>IF(SUM($D3)&lt;10,FV(+$B3/12,6,$E3,-P3),+P3)</f>
        <v>0</v>
      </c>
      <c r="R3" s="1046">
        <f t="shared" si="0"/>
        <v>0</v>
      </c>
      <c r="S3" s="1046">
        <f t="shared" si="0"/>
        <v>0</v>
      </c>
      <c r="T3" s="4"/>
      <c r="U3" s="4"/>
      <c r="V3" s="4"/>
      <c r="W3" s="4"/>
      <c r="X3" s="4"/>
      <c r="Y3" s="4"/>
      <c r="Z3" s="4"/>
      <c r="AA3" s="4"/>
      <c r="AB3" s="4"/>
      <c r="AC3" s="4"/>
      <c r="AD3" s="4"/>
      <c r="AE3" s="4"/>
      <c r="AF3" s="4"/>
      <c r="AG3" s="4"/>
      <c r="AH3" s="4"/>
      <c r="AI3" s="4"/>
      <c r="AJ3" s="4"/>
      <c r="AK3" s="4"/>
      <c r="AL3" s="4"/>
      <c r="AM3" s="4"/>
      <c r="AN3" s="4"/>
    </row>
    <row r="4" spans="1:40" x14ac:dyDescent="0.25">
      <c r="A4" s="299" t="s">
        <v>522</v>
      </c>
      <c r="B4" s="1051">
        <f>+Funding!AP24</f>
        <v>0</v>
      </c>
      <c r="C4" s="1045">
        <f>+G4*B4/12</f>
        <v>0</v>
      </c>
      <c r="D4" s="3">
        <f>+Funding!AK24</f>
        <v>0</v>
      </c>
      <c r="E4" s="1045">
        <f>+Funding!AQ24</f>
        <v>0</v>
      </c>
      <c r="F4" s="3">
        <f>SUM(Funding!AO24)-SUM(Funding!AK24)</f>
        <v>0</v>
      </c>
      <c r="G4" s="1046">
        <f>+Funding!AD24</f>
        <v>0</v>
      </c>
      <c r="H4" s="1046">
        <f>IF(SUM($D4)&lt;1,FV(+$B4/12,6,$E4,-G4),+G4)</f>
        <v>0</v>
      </c>
      <c r="I4" s="1046">
        <f>IF(SUM($D4)&lt;2,FV(+$B4/12,6,$E4,-H4),+H4)</f>
        <v>0</v>
      </c>
      <c r="J4" s="1046">
        <f>IF(SUM($D4)&lt;3,FV(+$B4/12,6,$E4,-I4),+I4)</f>
        <v>0</v>
      </c>
      <c r="K4" s="1046">
        <f>IF(SUM($D4)&lt;4,FV(+$B4/12,6,$E4,-J4),+J4)</f>
        <v>0</v>
      </c>
      <c r="L4" s="1046">
        <f>IF(SUM($D4)&lt;5,FV(+$B4/12,6,$E4,-K4),+K4)</f>
        <v>0</v>
      </c>
      <c r="M4" s="1046">
        <f>IF(SUM($D4)&lt;6,FV(+$B4/12,6,$E4,-L4),+L4)</f>
        <v>0</v>
      </c>
      <c r="N4" s="1046">
        <f>IF(SUM($D4)&lt;7,FV(+$B4/12,6,$E4,-M4),+M4)</f>
        <v>0</v>
      </c>
      <c r="O4" s="1046">
        <f>IF(SUM($D4)&lt;8,FV(+$B4/12,6,$E4,-N4),+N4)</f>
        <v>0</v>
      </c>
      <c r="P4" s="1046">
        <f>IF(SUM($D4)&lt;9,FV(+$B4/12,6,$E4,-O4),+O4)</f>
        <v>0</v>
      </c>
      <c r="Q4" s="1046">
        <f>IF(SUM($D4)&lt;10,FV(+$B4/12,6,$E4,-P4),+P4)</f>
        <v>0</v>
      </c>
      <c r="R4" s="1046">
        <f t="shared" si="0"/>
        <v>0</v>
      </c>
      <c r="S4" s="1046">
        <f t="shared" si="0"/>
        <v>0</v>
      </c>
      <c r="T4" s="4"/>
      <c r="U4" s="4"/>
      <c r="V4" s="4"/>
      <c r="W4" s="4"/>
      <c r="X4" s="4"/>
      <c r="Y4" s="4"/>
      <c r="Z4" s="4"/>
      <c r="AA4" s="4"/>
      <c r="AB4" s="4"/>
      <c r="AC4" s="4"/>
      <c r="AD4" s="4"/>
      <c r="AE4" s="4"/>
      <c r="AF4" s="4"/>
      <c r="AG4" s="4"/>
      <c r="AH4" s="4"/>
      <c r="AI4" s="4"/>
      <c r="AJ4" s="4"/>
      <c r="AK4" s="4"/>
      <c r="AL4" s="4"/>
      <c r="AM4" s="4"/>
      <c r="AN4" s="4"/>
    </row>
    <row r="5" spans="1:40" x14ac:dyDescent="0.25">
      <c r="A5" s="299" t="s">
        <v>366</v>
      </c>
      <c r="B5" s="1047">
        <f>+Funding!AP25</f>
        <v>0</v>
      </c>
      <c r="C5" s="1045" t="e">
        <f>+G5*B5/12</f>
        <v>#VALUE!</v>
      </c>
      <c r="D5" s="3">
        <f>AVERAGE(D2:D4)</f>
        <v>0</v>
      </c>
      <c r="E5" s="1045">
        <f>+Funding!AQ25</f>
        <v>0</v>
      </c>
      <c r="F5" s="3">
        <f>SUM(Funding!AO25)-SUM(Funding!AK25)</f>
        <v>0</v>
      </c>
      <c r="G5" s="1046" t="str">
        <f>+Funding!AD25</f>
        <v>Settlement</v>
      </c>
      <c r="H5" s="1046" t="e">
        <f>IF(SUM($D5)&lt;1,FV(+$B5/12,6,$E5,-G5),+G5)</f>
        <v>#VALUE!</v>
      </c>
      <c r="I5" s="1046" t="e">
        <f>IF(SUM($D5)&lt;2,FV(+$B5/12,6,$E5,-H5),+H5)</f>
        <v>#VALUE!</v>
      </c>
      <c r="J5" s="1046" t="e">
        <f>IF(SUM($D5)&lt;3,FV(+$B5/12,6,$E5,-I5),+I5)</f>
        <v>#VALUE!</v>
      </c>
      <c r="K5" s="1046" t="e">
        <f>IF(SUM($D5)&lt;4,FV(+$B5/12,6,$E5,-J5),+J5)</f>
        <v>#VALUE!</v>
      </c>
      <c r="L5" s="1046" t="e">
        <f>IF(SUM($D5)&lt;5,FV(+$B5/12,6,$E5,-K5),+K5)</f>
        <v>#VALUE!</v>
      </c>
      <c r="M5" s="1046" t="e">
        <f>IF(SUM($D5)&lt;6,FV(+$B5/12,6,$E5,-L5),+L5)</f>
        <v>#VALUE!</v>
      </c>
      <c r="N5" s="1046" t="e">
        <f>IF(SUM($D5)&lt;7,FV(+$B5/12,6,$E5,-M5),+M5)</f>
        <v>#VALUE!</v>
      </c>
      <c r="O5" s="1046" t="e">
        <f>IF(SUM($D5)&lt;8,FV(+$B5/12,6,$E5,-N5),+N5)</f>
        <v>#VALUE!</v>
      </c>
      <c r="P5" s="1046" t="e">
        <f>IF(SUM($D5)&lt;9,FV(+$B5/12,6,$E5,-O5),+O5)</f>
        <v>#VALUE!</v>
      </c>
      <c r="Q5" s="1046" t="e">
        <f>IF(SUM($D5)&lt;10,FV(+$B5/12,6,$E5,-P5),+P5)</f>
        <v>#VALUE!</v>
      </c>
      <c r="R5" s="1046" t="e">
        <f t="shared" si="0"/>
        <v>#VALUE!</v>
      </c>
      <c r="S5" s="1046" t="e">
        <f t="shared" si="0"/>
        <v>#VALUE!</v>
      </c>
      <c r="T5" s="1046" t="e">
        <f t="shared" ref="T5:AK5" si="1">FV(+$B5/12,12,$E5,-S5,0)</f>
        <v>#VALUE!</v>
      </c>
      <c r="U5" s="1046" t="e">
        <f t="shared" si="1"/>
        <v>#VALUE!</v>
      </c>
      <c r="V5" s="1046" t="e">
        <f t="shared" si="1"/>
        <v>#VALUE!</v>
      </c>
      <c r="W5" s="1046" t="e">
        <f t="shared" si="1"/>
        <v>#VALUE!</v>
      </c>
      <c r="X5" s="1046" t="e">
        <f t="shared" si="1"/>
        <v>#VALUE!</v>
      </c>
      <c r="Y5" s="1046" t="e">
        <f t="shared" si="1"/>
        <v>#VALUE!</v>
      </c>
      <c r="Z5" s="1046" t="e">
        <f t="shared" si="1"/>
        <v>#VALUE!</v>
      </c>
      <c r="AA5" s="1046" t="e">
        <f t="shared" si="1"/>
        <v>#VALUE!</v>
      </c>
      <c r="AB5" s="1046" t="e">
        <f t="shared" si="1"/>
        <v>#VALUE!</v>
      </c>
      <c r="AC5" s="1046" t="e">
        <f t="shared" si="1"/>
        <v>#VALUE!</v>
      </c>
      <c r="AD5" s="1046" t="e">
        <f t="shared" si="1"/>
        <v>#VALUE!</v>
      </c>
      <c r="AE5" s="1046" t="e">
        <f t="shared" si="1"/>
        <v>#VALUE!</v>
      </c>
      <c r="AF5" s="1046" t="e">
        <f t="shared" si="1"/>
        <v>#VALUE!</v>
      </c>
      <c r="AG5" s="1046" t="e">
        <f t="shared" si="1"/>
        <v>#VALUE!</v>
      </c>
      <c r="AH5" s="1046" t="e">
        <f t="shared" si="1"/>
        <v>#VALUE!</v>
      </c>
      <c r="AI5" s="1046" t="e">
        <f t="shared" si="1"/>
        <v>#VALUE!</v>
      </c>
      <c r="AJ5" s="1046" t="e">
        <f t="shared" si="1"/>
        <v>#VALUE!</v>
      </c>
      <c r="AK5" s="1046" t="e">
        <f t="shared" si="1"/>
        <v>#VALUE!</v>
      </c>
      <c r="AL5" s="1046"/>
      <c r="AM5" s="1046"/>
      <c r="AN5" s="1046"/>
    </row>
    <row r="6" spans="1:40" x14ac:dyDescent="0.25">
      <c r="A6" s="299" t="s">
        <v>29</v>
      </c>
    </row>
    <row r="7" spans="1:40" x14ac:dyDescent="0.25">
      <c r="A7" s="299" t="s">
        <v>78</v>
      </c>
      <c r="G7" s="1045"/>
    </row>
    <row r="8" spans="1:40" x14ac:dyDescent="0.25">
      <c r="A8" s="299" t="s">
        <v>448</v>
      </c>
      <c r="G8" s="1048">
        <v>42628</v>
      </c>
    </row>
    <row r="9" spans="1:40" x14ac:dyDescent="0.25">
      <c r="A9" s="299" t="s">
        <v>915</v>
      </c>
    </row>
    <row r="10" spans="1:40" x14ac:dyDescent="0.25">
      <c r="G10" s="1045"/>
    </row>
    <row r="11" spans="1:40" x14ac:dyDescent="0.25">
      <c r="A11" s="299" t="s">
        <v>72</v>
      </c>
      <c r="G11" s="4">
        <v>1</v>
      </c>
      <c r="H11" s="4">
        <v>2</v>
      </c>
      <c r="I11" s="4">
        <v>3</v>
      </c>
      <c r="J11" s="4">
        <v>4</v>
      </c>
      <c r="K11" s="4">
        <v>5</v>
      </c>
      <c r="L11" s="4">
        <v>6</v>
      </c>
      <c r="M11" s="4">
        <v>7</v>
      </c>
      <c r="N11" s="4">
        <v>8</v>
      </c>
      <c r="O11" s="4">
        <v>9</v>
      </c>
      <c r="P11" s="4">
        <v>10</v>
      </c>
      <c r="Q11"/>
    </row>
    <row r="12" spans="1:40" x14ac:dyDescent="0.25">
      <c r="A12" s="299" t="s">
        <v>1070</v>
      </c>
      <c r="G12" s="1049">
        <v>6.4999999999999997E-3</v>
      </c>
      <c r="Q12"/>
    </row>
    <row r="13" spans="1:40" x14ac:dyDescent="0.25">
      <c r="A13" s="299" t="s">
        <v>1071</v>
      </c>
      <c r="G13" s="1045" t="e">
        <f>+$G$5*G12</f>
        <v>#VALUE!</v>
      </c>
      <c r="H13" s="1045" t="e">
        <f>+G13</f>
        <v>#VALUE!</v>
      </c>
      <c r="I13" s="1045" t="e">
        <f t="shared" ref="I13:P13" si="2">+H13</f>
        <v>#VALUE!</v>
      </c>
      <c r="J13" s="1045" t="e">
        <f t="shared" si="2"/>
        <v>#VALUE!</v>
      </c>
      <c r="K13" s="1045" t="e">
        <f t="shared" si="2"/>
        <v>#VALUE!</v>
      </c>
      <c r="L13" s="1045" t="e">
        <f t="shared" si="2"/>
        <v>#VALUE!</v>
      </c>
      <c r="M13" s="1045" t="e">
        <f t="shared" si="2"/>
        <v>#VALUE!</v>
      </c>
      <c r="N13" s="1045" t="e">
        <f t="shared" si="2"/>
        <v>#VALUE!</v>
      </c>
      <c r="O13" s="1045" t="e">
        <f t="shared" si="2"/>
        <v>#VALUE!</v>
      </c>
      <c r="P13" s="1045" t="e">
        <f t="shared" si="2"/>
        <v>#VALUE!</v>
      </c>
      <c r="Q13"/>
    </row>
    <row r="14" spans="1:40" x14ac:dyDescent="0.25">
      <c r="G14" s="1045"/>
      <c r="H14" s="1045"/>
      <c r="I14" s="1045"/>
      <c r="J14" s="1045"/>
      <c r="K14" s="1045"/>
      <c r="L14" s="1045"/>
      <c r="M14" s="1045"/>
      <c r="N14" s="1045"/>
      <c r="O14" s="1045"/>
      <c r="P14" s="1045"/>
      <c r="Q14"/>
    </row>
    <row r="15" spans="1:40" x14ac:dyDescent="0.25">
      <c r="A15" s="299" t="s">
        <v>1070</v>
      </c>
      <c r="G15" s="1049">
        <v>1.5E-3</v>
      </c>
      <c r="H15" s="1049">
        <v>1.5E-3</v>
      </c>
      <c r="I15" s="1049">
        <v>1.5E-3</v>
      </c>
      <c r="J15" s="1049">
        <v>2E-3</v>
      </c>
      <c r="K15" s="1049">
        <f t="shared" ref="K15:P15" si="3">+J15</f>
        <v>2E-3</v>
      </c>
      <c r="L15" s="1049">
        <f t="shared" si="3"/>
        <v>2E-3</v>
      </c>
      <c r="M15" s="1049">
        <f t="shared" si="3"/>
        <v>2E-3</v>
      </c>
      <c r="N15" s="1049">
        <f t="shared" si="3"/>
        <v>2E-3</v>
      </c>
      <c r="O15" s="1049">
        <f t="shared" si="3"/>
        <v>2E-3</v>
      </c>
      <c r="P15" s="1049">
        <f t="shared" si="3"/>
        <v>2E-3</v>
      </c>
      <c r="Q15"/>
    </row>
    <row r="16" spans="1:40" x14ac:dyDescent="0.25">
      <c r="A16" s="1050" t="s">
        <v>913</v>
      </c>
      <c r="B16" s="1050"/>
      <c r="C16" s="1050"/>
      <c r="D16" s="1052"/>
      <c r="E16" s="1050"/>
      <c r="F16" s="1050"/>
      <c r="G16" s="1045" t="e">
        <f t="shared" ref="G16:P16" si="4">+H5*G15</f>
        <v>#VALUE!</v>
      </c>
      <c r="H16" s="1045" t="e">
        <f t="shared" si="4"/>
        <v>#VALUE!</v>
      </c>
      <c r="I16" s="1045" t="e">
        <f t="shared" si="4"/>
        <v>#VALUE!</v>
      </c>
      <c r="J16" s="1045" t="e">
        <f t="shared" si="4"/>
        <v>#VALUE!</v>
      </c>
      <c r="K16" s="1045" t="e">
        <f t="shared" si="4"/>
        <v>#VALUE!</v>
      </c>
      <c r="L16" s="1045" t="e">
        <f t="shared" si="4"/>
        <v>#VALUE!</v>
      </c>
      <c r="M16" s="1045" t="e">
        <f t="shared" si="4"/>
        <v>#VALUE!</v>
      </c>
      <c r="N16" s="1045" t="e">
        <f t="shared" si="4"/>
        <v>#VALUE!</v>
      </c>
      <c r="O16" s="1045" t="e">
        <f t="shared" si="4"/>
        <v>#VALUE!</v>
      </c>
      <c r="P16" s="1045" t="e">
        <f t="shared" si="4"/>
        <v>#VALUE!</v>
      </c>
      <c r="Q16"/>
    </row>
    <row r="17" spans="1:17" x14ac:dyDescent="0.25">
      <c r="A17" s="299" t="s">
        <v>1072</v>
      </c>
      <c r="G17" s="1045" t="e">
        <f>+G16</f>
        <v>#VALUE!</v>
      </c>
      <c r="H17" s="1045" t="e">
        <f t="shared" ref="H17:P17" si="5">+H16+G17</f>
        <v>#VALUE!</v>
      </c>
      <c r="I17" s="1045" t="e">
        <f t="shared" si="5"/>
        <v>#VALUE!</v>
      </c>
      <c r="J17" s="1045" t="e">
        <f t="shared" si="5"/>
        <v>#VALUE!</v>
      </c>
      <c r="K17" s="1045" t="e">
        <f t="shared" si="5"/>
        <v>#VALUE!</v>
      </c>
      <c r="L17" s="1045" t="e">
        <f t="shared" si="5"/>
        <v>#VALUE!</v>
      </c>
      <c r="M17" s="1045" t="e">
        <f t="shared" si="5"/>
        <v>#VALUE!</v>
      </c>
      <c r="N17" s="1045" t="e">
        <f t="shared" si="5"/>
        <v>#VALUE!</v>
      </c>
      <c r="O17" s="1045" t="e">
        <f t="shared" si="5"/>
        <v>#VALUE!</v>
      </c>
      <c r="P17" s="1045" t="e">
        <f t="shared" si="5"/>
        <v>#VALUE!</v>
      </c>
      <c r="Q17"/>
    </row>
    <row r="18" spans="1:17" x14ac:dyDescent="0.25">
      <c r="A18" s="299">
        <v>3</v>
      </c>
      <c r="G18" s="1045"/>
    </row>
    <row r="19" spans="1:17" x14ac:dyDescent="0.25">
      <c r="G19" s="1045"/>
    </row>
    <row r="20" spans="1:17" x14ac:dyDescent="0.25">
      <c r="G20" s="1045"/>
    </row>
    <row r="21" spans="1:17" x14ac:dyDescent="0.25">
      <c r="G21" s="1045"/>
    </row>
    <row r="22" spans="1:17" x14ac:dyDescent="0.25">
      <c r="G22" s="1045"/>
    </row>
    <row r="23" spans="1:17" x14ac:dyDescent="0.25">
      <c r="G23" s="1045"/>
    </row>
    <row r="24" spans="1:17" x14ac:dyDescent="0.25">
      <c r="G24" s="1045"/>
    </row>
    <row r="25" spans="1:17" x14ac:dyDescent="0.25">
      <c r="G25" s="1045"/>
    </row>
    <row r="26" spans="1:17" x14ac:dyDescent="0.25">
      <c r="G26" s="1045"/>
    </row>
    <row r="27" spans="1:17" x14ac:dyDescent="0.25">
      <c r="G27" s="1045"/>
    </row>
    <row r="28" spans="1:17" x14ac:dyDescent="0.25">
      <c r="G28" s="104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FA30"/>
  <sheetViews>
    <sheetView showGridLines="0" showRuler="0" zoomScaleNormal="100" workbookViewId="0">
      <selection activeCell="G13" sqref="G13:P14"/>
    </sheetView>
  </sheetViews>
  <sheetFormatPr defaultColWidth="3.5703125" defaultRowHeight="18.75" customHeight="1" x14ac:dyDescent="0.25"/>
  <cols>
    <col min="1" max="16" width="3.5703125" style="21" customWidth="1"/>
    <col min="17" max="17" width="3.5703125" style="23" customWidth="1"/>
    <col min="18" max="27" width="3.5703125" style="21" customWidth="1"/>
    <col min="28" max="28" width="3.5703125" style="106" customWidth="1"/>
    <col min="29" max="29" width="3.5703125" style="129" customWidth="1"/>
    <col min="30" max="30" width="11.85546875" style="129" customWidth="1"/>
    <col min="31" max="32" width="3.5703125" style="129" customWidth="1"/>
    <col min="33" max="33" width="7.7109375" style="724" hidden="1" customWidth="1"/>
    <col min="34" max="34" width="3.5703125" style="724" hidden="1" customWidth="1"/>
    <col min="35" max="35" width="1.140625" style="724" hidden="1" customWidth="1"/>
    <col min="36" max="36" width="4.28515625" style="724" hidden="1" customWidth="1"/>
    <col min="37" max="46" width="3.5703125" style="724" customWidth="1"/>
    <col min="47" max="47" width="4" style="724" customWidth="1"/>
    <col min="48" max="56" width="3.5703125" style="724" customWidth="1"/>
    <col min="57" max="57" width="38.5703125" style="724" customWidth="1"/>
    <col min="58" max="58" width="10.5703125" style="724" customWidth="1"/>
    <col min="59" max="59" width="3.5703125" style="724" customWidth="1"/>
    <col min="60" max="60" width="16.28515625" style="94" customWidth="1"/>
    <col min="61" max="61" width="12.140625" style="94" customWidth="1"/>
    <col min="62" max="71" width="10.5703125" style="94" customWidth="1"/>
    <col min="72" max="74" width="3.5703125" style="94" customWidth="1"/>
    <col min="75" max="86" width="3.5703125" style="94"/>
    <col min="87" max="157" width="3.5703125" style="129"/>
    <col min="158" max="16384" width="3.5703125" style="21"/>
  </cols>
  <sheetData>
    <row r="1" spans="1:157" ht="48" customHeight="1" x14ac:dyDescent="0.25">
      <c r="A1" s="1534" t="s">
        <v>776</v>
      </c>
      <c r="B1" s="1534"/>
      <c r="C1" s="1534"/>
      <c r="D1" s="1534"/>
      <c r="E1" s="1534"/>
      <c r="F1" s="1534"/>
      <c r="G1" s="1534"/>
      <c r="H1" s="1534"/>
      <c r="I1" s="1534"/>
      <c r="J1" s="1534"/>
      <c r="K1" s="1534"/>
      <c r="L1" s="1534"/>
      <c r="M1" s="1534"/>
      <c r="N1" s="1534"/>
      <c r="O1" s="1534"/>
      <c r="P1" s="1534"/>
    </row>
    <row r="2" spans="1:157" ht="26.25" x14ac:dyDescent="0.25">
      <c r="A2" s="1533" t="s">
        <v>11</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row>
    <row r="3" spans="1:157" s="27" customFormat="1" ht="18.75" customHeight="1" x14ac:dyDescent="0.25">
      <c r="A3" s="684"/>
      <c r="B3" s="684"/>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B3" s="157"/>
      <c r="AC3" s="153"/>
      <c r="AD3" s="153"/>
      <c r="AE3" s="153"/>
      <c r="AF3" s="153"/>
      <c r="AG3" s="724"/>
      <c r="AH3" s="724"/>
      <c r="AI3" s="724"/>
      <c r="AJ3" s="724"/>
      <c r="AK3" s="724"/>
      <c r="AL3" s="724"/>
      <c r="AM3" s="724"/>
      <c r="AN3" s="724"/>
      <c r="AO3" s="724"/>
      <c r="AP3" s="964"/>
      <c r="AQ3" s="724"/>
      <c r="AR3" s="724"/>
      <c r="AS3" s="724"/>
      <c r="AT3" s="724"/>
      <c r="AU3" s="724"/>
      <c r="AV3" s="724"/>
      <c r="AW3" s="724"/>
      <c r="AX3" s="724"/>
      <c r="AY3" s="724"/>
      <c r="AZ3" s="724"/>
      <c r="BA3" s="724"/>
      <c r="BB3" s="724"/>
      <c r="BC3" s="724"/>
      <c r="BD3" s="724"/>
      <c r="BE3" s="724"/>
      <c r="BF3" s="724"/>
      <c r="BG3" s="724"/>
      <c r="BH3" s="94"/>
      <c r="BI3" s="724"/>
      <c r="BJ3" s="724" t="s">
        <v>503</v>
      </c>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row>
    <row r="4" spans="1:157" ht="18.75" customHeight="1" x14ac:dyDescent="0.25">
      <c r="A4" s="1521"/>
      <c r="B4" s="1521"/>
      <c r="C4" s="1521"/>
      <c r="D4" s="1521"/>
      <c r="E4" s="1521"/>
      <c r="F4" s="1521"/>
      <c r="G4" s="1602"/>
      <c r="H4" s="1603"/>
      <c r="I4" s="1603"/>
      <c r="J4" s="1603"/>
      <c r="K4" s="1603"/>
      <c r="L4" s="1603"/>
      <c r="M4" s="1603"/>
      <c r="N4" s="1603"/>
      <c r="O4" s="1603"/>
      <c r="P4" s="1604"/>
      <c r="Q4" s="52"/>
      <c r="R4" s="1602"/>
      <c r="S4" s="1603"/>
      <c r="T4" s="1603"/>
      <c r="U4" s="1603"/>
      <c r="V4" s="1603"/>
      <c r="W4" s="1603"/>
      <c r="X4" s="1603"/>
      <c r="Y4" s="1603"/>
      <c r="Z4" s="1603"/>
      <c r="AA4" s="1604"/>
      <c r="AD4" s="1067" t="s">
        <v>1153</v>
      </c>
      <c r="AG4" s="724" t="s">
        <v>133</v>
      </c>
      <c r="AJ4" s="724">
        <f>+G4</f>
        <v>0</v>
      </c>
      <c r="AP4" s="964"/>
      <c r="BH4" s="724"/>
      <c r="BJ4" s="318" t="s">
        <v>118</v>
      </c>
      <c r="BK4" s="321">
        <f>+G4</f>
        <v>0</v>
      </c>
      <c r="BL4" s="321">
        <f>+R4</f>
        <v>0</v>
      </c>
      <c r="BM4" s="321">
        <f>+AddressPostal1</f>
        <v>0</v>
      </c>
      <c r="BN4" s="386">
        <f>+AJ11</f>
        <v>0</v>
      </c>
    </row>
    <row r="5" spans="1:157" ht="15.75" x14ac:dyDescent="0.25">
      <c r="A5" s="1521"/>
      <c r="B5" s="1521"/>
      <c r="C5" s="1521"/>
      <c r="D5" s="1521"/>
      <c r="E5" s="1521"/>
      <c r="F5" s="1521"/>
      <c r="G5" s="1605"/>
      <c r="H5" s="1606"/>
      <c r="I5" s="1606"/>
      <c r="J5" s="1606"/>
      <c r="K5" s="1606"/>
      <c r="L5" s="1606"/>
      <c r="M5" s="1606"/>
      <c r="N5" s="1606"/>
      <c r="O5" s="1606"/>
      <c r="P5" s="1607"/>
      <c r="Q5" s="52"/>
      <c r="R5" s="1605"/>
      <c r="S5" s="1606"/>
      <c r="T5" s="1606"/>
      <c r="U5" s="1606"/>
      <c r="V5" s="1606"/>
      <c r="W5" s="1606"/>
      <c r="X5" s="1606"/>
      <c r="Y5" s="1606"/>
      <c r="Z5" s="1606"/>
      <c r="AA5" s="1607"/>
      <c r="AD5" s="191"/>
      <c r="AG5" s="724" t="s">
        <v>134</v>
      </c>
      <c r="AJ5" s="724">
        <f>+R4</f>
        <v>0</v>
      </c>
      <c r="AP5" s="964"/>
      <c r="BJ5" s="318" t="s">
        <v>101</v>
      </c>
      <c r="BK5" s="320">
        <f ca="1">(+NOW()-Address!G6)/365.25</f>
        <v>117.17320960751134</v>
      </c>
      <c r="BL5" s="320">
        <f ca="1">(+NOW()-R6)/365.25</f>
        <v>117.17320960751134</v>
      </c>
      <c r="BM5" s="320" t="str">
        <f>IF(BM4=0,"",(L21-G21)/365.25)</f>
        <v/>
      </c>
      <c r="BN5" s="320" t="e">
        <f>IF(BN4=0,"",W21-R21)/365.25</f>
        <v>#VALUE!</v>
      </c>
    </row>
    <row r="6" spans="1:157" ht="18.75" customHeight="1" x14ac:dyDescent="0.25">
      <c r="A6" s="1521" t="s">
        <v>117</v>
      </c>
      <c r="B6" s="1521"/>
      <c r="C6" s="1521"/>
      <c r="D6" s="1521"/>
      <c r="E6" s="1521"/>
      <c r="F6" s="1521"/>
      <c r="G6" s="1523"/>
      <c r="H6" s="1524"/>
      <c r="I6" s="1524"/>
      <c r="J6" s="1524"/>
      <c r="K6" s="1525"/>
      <c r="L6" s="1542"/>
      <c r="M6" s="1543"/>
      <c r="N6" s="1543"/>
      <c r="O6" s="1543"/>
      <c r="P6" s="1544"/>
      <c r="Q6" s="52"/>
      <c r="R6" s="1523"/>
      <c r="S6" s="1524"/>
      <c r="T6" s="1524"/>
      <c r="U6" s="1524"/>
      <c r="V6" s="1525"/>
      <c r="W6" s="1542"/>
      <c r="X6" s="1543"/>
      <c r="Y6" s="1543"/>
      <c r="Z6" s="1543"/>
      <c r="AA6" s="1544"/>
      <c r="AD6" s="1067" t="s">
        <v>1154</v>
      </c>
      <c r="AP6" s="964"/>
      <c r="BJ6" s="318" t="s">
        <v>102</v>
      </c>
      <c r="BK6" s="320">
        <f ca="1">ROUNDDOWN(BK5,0)</f>
        <v>117</v>
      </c>
      <c r="BL6" s="320">
        <f ca="1">ROUNDDOWN(BL5,0)</f>
        <v>117</v>
      </c>
      <c r="BM6" s="320" t="str">
        <f>IF(BM4=0,"",ROUNDDOWN(BM5,0))</f>
        <v/>
      </c>
      <c r="BN6" s="320" t="e">
        <f>ROUNDDOWN(BN5,0)</f>
        <v>#VALUE!</v>
      </c>
    </row>
    <row r="7" spans="1:157" ht="18.75" customHeight="1" x14ac:dyDescent="0.25">
      <c r="A7" s="1521" t="s">
        <v>622</v>
      </c>
      <c r="B7" s="1521"/>
      <c r="C7" s="1521"/>
      <c r="D7" s="1521"/>
      <c r="E7" s="1521"/>
      <c r="F7" s="1521"/>
      <c r="G7" s="1619"/>
      <c r="H7" s="1619"/>
      <c r="I7" s="1619"/>
      <c r="J7" s="1620"/>
      <c r="K7" s="628"/>
      <c r="L7" s="1611"/>
      <c r="M7" s="1612"/>
      <c r="N7" s="1613" t="s">
        <v>577</v>
      </c>
      <c r="O7" s="1614"/>
      <c r="P7" s="1615"/>
      <c r="Q7" s="21"/>
      <c r="R7" s="1621"/>
      <c r="S7" s="1621"/>
      <c r="T7" s="1621"/>
      <c r="U7" s="1621"/>
      <c r="V7" s="628"/>
      <c r="W7" s="1611"/>
      <c r="X7" s="1612"/>
      <c r="Y7" s="1613" t="s">
        <v>577</v>
      </c>
      <c r="Z7" s="1614"/>
      <c r="AA7" s="1615"/>
      <c r="AD7" s="191"/>
      <c r="AG7" s="725" t="s">
        <v>692</v>
      </c>
      <c r="AH7" s="725"/>
      <c r="AI7" s="725"/>
      <c r="AJ7" s="725" t="str">
        <f>+G13</f>
        <v/>
      </c>
      <c r="AP7" s="964"/>
      <c r="BJ7" s="318"/>
      <c r="BK7" s="320">
        <f ca="1">((+BK5-BK6)*365)/30.41</f>
        <v>2.0789709550029176</v>
      </c>
      <c r="BL7" s="320">
        <f ca="1">((+BL5-BL6)*365)/30.41</f>
        <v>2.0789709550029176</v>
      </c>
      <c r="BM7" s="320" t="e">
        <f>((+BM5-BM6)*365)/30.41</f>
        <v>#VALUE!</v>
      </c>
      <c r="BN7" s="320" t="e">
        <f>((+BN5-BN6)*365)/30.41</f>
        <v>#VALUE!</v>
      </c>
    </row>
    <row r="8" spans="1:157" ht="18.75" customHeight="1" x14ac:dyDescent="0.25">
      <c r="A8" s="1521"/>
      <c r="B8" s="1521"/>
      <c r="C8" s="1521"/>
      <c r="D8" s="1521"/>
      <c r="E8" s="1521"/>
      <c r="F8" s="1521"/>
      <c r="G8" s="1616" t="str">
        <f>IF(G6="","",+BK9)</f>
        <v/>
      </c>
      <c r="H8" s="1616"/>
      <c r="I8" s="1616" t="str">
        <f>IF(G4="","",+AJ4)</f>
        <v/>
      </c>
      <c r="J8" s="1616"/>
      <c r="K8" s="1616"/>
      <c r="L8" s="1616"/>
      <c r="M8" s="1616"/>
      <c r="N8" s="1616"/>
      <c r="O8" s="1616"/>
      <c r="P8" s="1616"/>
      <c r="Q8" s="620"/>
      <c r="R8" s="1616" t="str">
        <f>IF(R6="","",+BL9)</f>
        <v/>
      </c>
      <c r="S8" s="1616"/>
      <c r="T8" s="1617" t="str">
        <f>IF(R4="","",+AJ5)</f>
        <v/>
      </c>
      <c r="U8" s="1617"/>
      <c r="V8" s="1617"/>
      <c r="W8" s="1618"/>
      <c r="X8" s="1618"/>
      <c r="Y8" s="1618"/>
      <c r="Z8" s="1618"/>
      <c r="AA8" s="1618"/>
      <c r="AG8" s="725" t="s">
        <v>694</v>
      </c>
      <c r="AH8" s="725"/>
      <c r="AI8" s="725"/>
      <c r="AJ8" s="725" t="str">
        <f>+R13</f>
        <v/>
      </c>
      <c r="AP8" s="964"/>
      <c r="BJ8" s="318" t="s">
        <v>103</v>
      </c>
      <c r="BK8" s="320">
        <f ca="1">ROUNDDOWN(BK7,0)</f>
        <v>2</v>
      </c>
      <c r="BL8" s="320">
        <f ca="1">ROUNDDOWN(BL7,0)</f>
        <v>2</v>
      </c>
      <c r="BM8" s="320" t="e">
        <f>ROUNDDOWN(BM7,0)</f>
        <v>#VALUE!</v>
      </c>
      <c r="BN8" s="320" t="e">
        <f>ROUNDDOWN(BN7,0)</f>
        <v>#VALUE!</v>
      </c>
      <c r="BR8" s="1609" t="b">
        <v>0</v>
      </c>
      <c r="BS8" s="1609"/>
      <c r="BT8" s="1609"/>
      <c r="BU8" s="129"/>
      <c r="BV8" s="724"/>
      <c r="BW8" s="724"/>
      <c r="BX8" s="724"/>
      <c r="BY8" s="1609" t="b">
        <v>0</v>
      </c>
      <c r="BZ8" s="1609"/>
      <c r="CA8" s="1609"/>
    </row>
    <row r="9" spans="1:157" ht="18.75" customHeight="1" x14ac:dyDescent="0.25">
      <c r="A9" s="640"/>
      <c r="B9" s="640"/>
      <c r="C9" s="640"/>
      <c r="D9" s="640"/>
      <c r="E9" s="640"/>
      <c r="F9" s="640"/>
      <c r="G9" s="621"/>
      <c r="H9" s="621"/>
      <c r="I9" s="621"/>
      <c r="J9" s="621"/>
      <c r="K9" s="621"/>
      <c r="L9" s="1600" t="str">
        <f>IF(L7="","",VLOOKUP(N7,Settings!Z29:AA36,2,FALSE)*L7)</f>
        <v/>
      </c>
      <c r="M9" s="1601"/>
      <c r="N9" s="1601" t="str">
        <f>IF(L7="","","Rent Per Annum")</f>
        <v/>
      </c>
      <c r="O9" s="1601"/>
      <c r="P9" s="1601"/>
      <c r="Q9" s="622"/>
      <c r="R9" s="621"/>
      <c r="S9" s="621"/>
      <c r="T9" s="623"/>
      <c r="U9" s="623"/>
      <c r="V9" s="623"/>
      <c r="W9" s="1600" t="str">
        <f>IF(W7="","",VLOOKUP(Y7,Settings!Z29:AA36,2,FALSE)*W7)</f>
        <v/>
      </c>
      <c r="X9" s="1601"/>
      <c r="Y9" s="1601" t="str">
        <f>IF(W7="","","Rent Per Annum")</f>
        <v/>
      </c>
      <c r="Z9" s="1601"/>
      <c r="AA9" s="1601"/>
      <c r="AP9" s="964"/>
      <c r="BJ9" s="318" t="s">
        <v>101</v>
      </c>
      <c r="BK9" s="320" t="str">
        <f ca="1">CONCATENATE(BK6,"y ",BK8, "m ")</f>
        <v xml:space="preserve">117y 2m </v>
      </c>
      <c r="BL9" s="320" t="str">
        <f ca="1">CONCATENATE(BL6,"y ",BL8, "m ")</f>
        <v xml:space="preserve">117y 2m </v>
      </c>
      <c r="BM9" s="320" t="e">
        <f>CONCATENATE(BM6,"y ",BM8, "m ")</f>
        <v>#VALUE!</v>
      </c>
      <c r="BN9" s="320" t="e">
        <f>CONCATENATE(BN6,"y ",BN8, "m ")</f>
        <v>#VALUE!</v>
      </c>
    </row>
    <row r="10" spans="1:157" ht="15" x14ac:dyDescent="0.25">
      <c r="A10" s="1608"/>
      <c r="B10" s="1608"/>
      <c r="C10" s="1608"/>
      <c r="D10" s="1608"/>
      <c r="E10" s="1608"/>
      <c r="F10" s="1608"/>
      <c r="G10" s="1608"/>
      <c r="H10" s="1608"/>
      <c r="I10" s="1608"/>
      <c r="J10" s="1608"/>
      <c r="K10" s="1608"/>
      <c r="L10" s="1608"/>
      <c r="M10" s="1608"/>
      <c r="N10" s="1608"/>
      <c r="O10" s="1608"/>
      <c r="P10" s="1608"/>
      <c r="Q10" s="1608"/>
      <c r="R10" s="1608"/>
      <c r="S10" s="1608"/>
      <c r="T10" s="1608"/>
      <c r="U10" s="1608"/>
      <c r="V10" s="1608"/>
      <c r="W10" s="1608"/>
      <c r="X10" s="1608"/>
      <c r="Y10" s="1608"/>
      <c r="Z10" s="1608"/>
      <c r="AA10" s="1608"/>
      <c r="AB10" s="1608"/>
      <c r="AG10" s="724" t="s">
        <v>132</v>
      </c>
      <c r="AJ10" s="724">
        <f>+AddressPostal1</f>
        <v>0</v>
      </c>
      <c r="AP10" s="964"/>
    </row>
    <row r="11" spans="1:157" ht="26.25" x14ac:dyDescent="0.25">
      <c r="A11" s="1533" t="s">
        <v>691</v>
      </c>
      <c r="B11" s="1533"/>
      <c r="C11" s="1533"/>
      <c r="D11" s="1533"/>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G11" s="725" t="s">
        <v>693</v>
      </c>
      <c r="AJ11" s="724">
        <f>+AddressPostal2</f>
        <v>0</v>
      </c>
      <c r="AP11" s="964"/>
      <c r="BL11" s="94">
        <f>IF(Funding!G12="Invest",1,0)</f>
        <v>1</v>
      </c>
    </row>
    <row r="12" spans="1:157" s="94" customFormat="1" ht="18.75" customHeight="1" x14ac:dyDescent="0.25">
      <c r="A12" s="684"/>
      <c r="B12" s="684"/>
      <c r="C12" s="684"/>
      <c r="D12" s="684"/>
      <c r="E12" s="684"/>
      <c r="F12" s="684"/>
      <c r="G12" s="26"/>
      <c r="H12" s="26"/>
      <c r="I12" s="26"/>
      <c r="J12" s="26"/>
      <c r="K12" s="26"/>
      <c r="L12" s="23"/>
      <c r="M12" s="23"/>
      <c r="N12" s="23"/>
      <c r="O12" s="23"/>
      <c r="P12" s="23"/>
      <c r="Q12" s="23"/>
      <c r="R12" s="26"/>
      <c r="S12" s="26"/>
      <c r="T12" s="26"/>
      <c r="U12" s="26"/>
      <c r="V12" s="26"/>
      <c r="W12" s="21"/>
      <c r="X12" s="21"/>
      <c r="Y12" s="21"/>
      <c r="Z12" s="21"/>
      <c r="AA12" s="21"/>
      <c r="AB12" s="157"/>
      <c r="AM12" s="724"/>
      <c r="AN12" s="724"/>
      <c r="AO12" s="724"/>
      <c r="AP12" s="964"/>
      <c r="AQ12" s="724"/>
      <c r="AR12" s="724"/>
      <c r="AS12" s="724"/>
      <c r="AT12" s="724"/>
      <c r="AU12" s="724"/>
      <c r="AV12" s="724"/>
      <c r="AW12" s="724"/>
      <c r="AX12" s="724"/>
      <c r="AY12" s="724"/>
      <c r="AZ12" s="724"/>
      <c r="BA12" s="724"/>
      <c r="BB12" s="724"/>
      <c r="BC12" s="724"/>
      <c r="BD12" s="724"/>
      <c r="BE12" s="724"/>
      <c r="BF12" s="724"/>
      <c r="BG12" s="724"/>
      <c r="BJ12" s="94" t="s">
        <v>622</v>
      </c>
      <c r="BL12" s="94" t="s">
        <v>683</v>
      </c>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row>
    <row r="13" spans="1:157" s="94" customFormat="1" ht="18.75" customHeight="1" x14ac:dyDescent="0.25">
      <c r="A13" s="1521"/>
      <c r="B13" s="1521"/>
      <c r="C13" s="1521"/>
      <c r="D13" s="1521"/>
      <c r="E13" s="1521"/>
      <c r="F13" s="1521"/>
      <c r="G13" s="1602" t="str">
        <f>IF(BR8=TRUE,+G4,"")</f>
        <v/>
      </c>
      <c r="H13" s="1603"/>
      <c r="I13" s="1603"/>
      <c r="J13" s="1603"/>
      <c r="K13" s="1603"/>
      <c r="L13" s="1603"/>
      <c r="M13" s="1603"/>
      <c r="N13" s="1603"/>
      <c r="O13" s="1603"/>
      <c r="P13" s="1604"/>
      <c r="Q13" s="52"/>
      <c r="R13" s="1602" t="str">
        <f>IF(BY8=TRUE,+R4,"")</f>
        <v/>
      </c>
      <c r="S13" s="1603"/>
      <c r="T13" s="1603"/>
      <c r="U13" s="1603"/>
      <c r="V13" s="1603"/>
      <c r="W13" s="1603"/>
      <c r="X13" s="1603"/>
      <c r="Y13" s="1603"/>
      <c r="Z13" s="1603"/>
      <c r="AA13" s="1604"/>
      <c r="AB13" s="106"/>
      <c r="AC13" s="129"/>
      <c r="AD13" s="129"/>
      <c r="AE13" s="129"/>
      <c r="AF13" s="129"/>
      <c r="AG13" s="724" t="s">
        <v>135</v>
      </c>
      <c r="AH13" s="724"/>
      <c r="AI13" s="724"/>
      <c r="AJ13" s="724" t="str">
        <f>+G27</f>
        <v/>
      </c>
      <c r="AK13" s="724"/>
      <c r="AL13" s="724"/>
      <c r="AM13" s="724"/>
      <c r="AN13" s="724"/>
      <c r="AO13" s="724"/>
      <c r="AP13" s="964"/>
      <c r="AQ13" s="724"/>
      <c r="AR13" s="724"/>
      <c r="AS13" s="724"/>
      <c r="AT13" s="724"/>
      <c r="AU13" s="724"/>
      <c r="AV13" s="724"/>
      <c r="AW13" s="724"/>
      <c r="AX13" s="724"/>
      <c r="AY13" s="724"/>
      <c r="AZ13" s="724"/>
      <c r="BA13" s="724"/>
      <c r="BB13" s="724"/>
      <c r="BC13" s="724"/>
      <c r="BD13" s="724"/>
      <c r="BE13" s="724"/>
      <c r="BF13" s="724"/>
      <c r="BG13" s="724"/>
      <c r="BJ13" s="415">
        <f>SUM(L7,W7)</f>
        <v>0</v>
      </c>
      <c r="BL13" s="415">
        <f>+BJ13*BL11</f>
        <v>0</v>
      </c>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row>
    <row r="14" spans="1:157" s="94" customFormat="1" ht="18.75" customHeight="1" x14ac:dyDescent="0.25">
      <c r="A14" s="1521"/>
      <c r="B14" s="1521"/>
      <c r="C14" s="1521"/>
      <c r="D14" s="1521"/>
      <c r="E14" s="1521"/>
      <c r="F14" s="1521"/>
      <c r="G14" s="1605"/>
      <c r="H14" s="1606"/>
      <c r="I14" s="1606"/>
      <c r="J14" s="1606"/>
      <c r="K14" s="1606"/>
      <c r="L14" s="1606"/>
      <c r="M14" s="1606"/>
      <c r="N14" s="1606"/>
      <c r="O14" s="1606"/>
      <c r="P14" s="1607"/>
      <c r="Q14" s="52"/>
      <c r="R14" s="1605"/>
      <c r="S14" s="1606"/>
      <c r="T14" s="1606"/>
      <c r="U14" s="1606"/>
      <c r="V14" s="1606"/>
      <c r="W14" s="1606"/>
      <c r="X14" s="1606"/>
      <c r="Y14" s="1606"/>
      <c r="Z14" s="1606"/>
      <c r="AA14" s="1607"/>
      <c r="AB14" s="106"/>
      <c r="AC14" s="153"/>
      <c r="AD14" s="153"/>
      <c r="AE14" s="153"/>
      <c r="AF14" s="153"/>
      <c r="AG14" s="724" t="s">
        <v>136</v>
      </c>
      <c r="AH14" s="724"/>
      <c r="AI14" s="724"/>
      <c r="AJ14" s="724" t="str">
        <f>+R27</f>
        <v/>
      </c>
      <c r="AK14" s="724"/>
      <c r="AL14" s="724"/>
      <c r="AM14" s="724"/>
      <c r="AN14" s="724"/>
      <c r="AO14" s="724"/>
      <c r="AP14" s="964"/>
      <c r="AQ14" s="724"/>
      <c r="AR14" s="724"/>
      <c r="AS14" s="724"/>
      <c r="AT14" s="724"/>
      <c r="AU14" s="724"/>
      <c r="AV14" s="724"/>
      <c r="AW14" s="724"/>
      <c r="AX14" s="724"/>
      <c r="AY14" s="724"/>
      <c r="AZ14" s="724"/>
      <c r="BA14" s="724"/>
      <c r="BB14" s="724"/>
      <c r="BC14" s="724"/>
      <c r="BD14" s="724"/>
      <c r="BE14" s="724"/>
      <c r="BF14" s="724"/>
      <c r="BG14" s="724"/>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row>
    <row r="15" spans="1:157" s="94" customFormat="1" ht="15.75" x14ac:dyDescent="0.25">
      <c r="A15" s="721"/>
      <c r="B15" s="721"/>
      <c r="C15" s="721"/>
      <c r="D15" s="721"/>
      <c r="E15" s="721"/>
      <c r="F15" s="721"/>
      <c r="G15" s="722"/>
      <c r="H15" s="722"/>
      <c r="I15" s="722"/>
      <c r="J15" s="722"/>
      <c r="K15" s="722"/>
      <c r="L15" s="1600"/>
      <c r="M15" s="1601"/>
      <c r="N15" s="1601"/>
      <c r="O15" s="1601"/>
      <c r="P15" s="1601"/>
      <c r="Q15" s="622"/>
      <c r="R15" s="722"/>
      <c r="S15" s="722"/>
      <c r="T15" s="723"/>
      <c r="U15" s="723"/>
      <c r="V15" s="723"/>
      <c r="W15" s="1600"/>
      <c r="X15" s="1601"/>
      <c r="Y15" s="1601"/>
      <c r="Z15" s="1601"/>
      <c r="AA15" s="1601"/>
      <c r="AB15" s="106"/>
      <c r="AC15" s="129"/>
      <c r="AD15" s="129"/>
      <c r="AE15" s="129"/>
      <c r="AF15" s="129"/>
      <c r="AG15" s="724"/>
      <c r="AH15" s="724"/>
      <c r="AI15" s="724"/>
      <c r="AJ15" s="724"/>
      <c r="AK15" s="724"/>
      <c r="AL15" s="724"/>
      <c r="AM15" s="724"/>
      <c r="AN15" s="724"/>
      <c r="AO15" s="724"/>
      <c r="AP15" s="964"/>
      <c r="AQ15" s="724"/>
      <c r="AR15" s="724"/>
      <c r="AS15" s="724"/>
      <c r="AT15" s="724"/>
      <c r="AU15" s="724"/>
      <c r="AV15" s="724"/>
      <c r="AW15" s="724"/>
      <c r="AX15" s="724"/>
      <c r="AY15" s="724"/>
      <c r="AZ15" s="724"/>
      <c r="BA15" s="724"/>
      <c r="BB15" s="724"/>
      <c r="BC15" s="724"/>
      <c r="BD15" s="724"/>
      <c r="BE15" s="724"/>
      <c r="BF15" s="724"/>
      <c r="BG15" s="724"/>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row>
    <row r="16" spans="1:157" s="94" customFormat="1" ht="15" x14ac:dyDescent="0.25">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29"/>
      <c r="AD16" s="129"/>
      <c r="AE16" s="129"/>
      <c r="AF16" s="129"/>
      <c r="AG16" s="724"/>
      <c r="AH16" s="724"/>
      <c r="AI16" s="724"/>
      <c r="AJ16" s="724"/>
      <c r="AK16" s="724"/>
      <c r="AL16" s="724"/>
      <c r="AM16" s="724"/>
      <c r="AN16" s="724"/>
      <c r="AO16" s="724"/>
      <c r="AP16" s="964"/>
      <c r="AQ16" s="724"/>
      <c r="AR16" s="724"/>
      <c r="AS16" s="724"/>
      <c r="AT16" s="724"/>
      <c r="AU16" s="724"/>
      <c r="AV16" s="724"/>
      <c r="AW16" s="724"/>
      <c r="AX16" s="724"/>
      <c r="AY16" s="724"/>
      <c r="AZ16" s="724"/>
      <c r="BA16" s="724"/>
      <c r="BB16" s="724"/>
      <c r="BC16" s="724"/>
      <c r="BD16" s="724"/>
      <c r="BE16" s="724"/>
      <c r="BF16" s="724"/>
      <c r="BG16" s="724"/>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row>
    <row r="17" spans="1:157" s="94" customFormat="1" ht="26.25" x14ac:dyDescent="0.25">
      <c r="A17" s="1533" t="s">
        <v>14</v>
      </c>
      <c r="B17" s="1533"/>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06"/>
      <c r="AC17" s="129"/>
      <c r="AD17" s="129"/>
      <c r="AE17" s="129"/>
      <c r="AF17" s="129"/>
      <c r="AG17" s="724"/>
      <c r="AH17" s="724"/>
      <c r="AI17" s="724"/>
      <c r="AJ17" s="724"/>
      <c r="AK17" s="724"/>
      <c r="AL17" s="724"/>
      <c r="AM17" s="724"/>
      <c r="AN17" s="724"/>
      <c r="AO17" s="724"/>
      <c r="AP17" s="964"/>
      <c r="AQ17" s="724"/>
      <c r="AR17" s="724"/>
      <c r="AS17" s="724"/>
      <c r="AT17" s="724"/>
      <c r="AU17" s="724"/>
      <c r="AV17" s="724"/>
      <c r="AW17" s="724"/>
      <c r="AX17" s="724"/>
      <c r="AY17" s="724"/>
      <c r="AZ17" s="724"/>
      <c r="BA17" s="724"/>
      <c r="BB17" s="724"/>
      <c r="BC17" s="724"/>
      <c r="BD17" s="724"/>
      <c r="BE17" s="724"/>
      <c r="BF17" s="724"/>
      <c r="BG17" s="724"/>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row>
    <row r="18" spans="1:157" s="94" customFormat="1" ht="18.75" customHeight="1" x14ac:dyDescent="0.25">
      <c r="A18" s="721"/>
      <c r="B18" s="721"/>
      <c r="C18" s="721"/>
      <c r="D18" s="721"/>
      <c r="E18" s="721"/>
      <c r="F18" s="721"/>
      <c r="G18" s="26"/>
      <c r="H18" s="26"/>
      <c r="I18" s="26"/>
      <c r="J18" s="26"/>
      <c r="K18" s="26"/>
      <c r="L18" s="23"/>
      <c r="M18" s="23"/>
      <c r="N18" s="1609"/>
      <c r="O18" s="1609"/>
      <c r="P18" s="1609"/>
      <c r="Q18" s="23"/>
      <c r="R18" s="26"/>
      <c r="S18" s="26"/>
      <c r="T18" s="26"/>
      <c r="U18" s="26"/>
      <c r="V18" s="26"/>
      <c r="W18" s="21"/>
      <c r="X18" s="21"/>
      <c r="Y18" s="1609"/>
      <c r="Z18" s="1609"/>
      <c r="AA18" s="1609"/>
      <c r="AB18" s="106"/>
      <c r="AC18" s="129"/>
      <c r="AD18" s="129"/>
      <c r="AE18" s="129"/>
      <c r="AF18" s="129"/>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row>
    <row r="19" spans="1:157" s="94" customFormat="1" ht="18.75" customHeight="1" x14ac:dyDescent="0.25">
      <c r="A19" s="1521"/>
      <c r="B19" s="1521"/>
      <c r="C19" s="1521"/>
      <c r="D19" s="1521"/>
      <c r="E19" s="1521"/>
      <c r="F19" s="1521"/>
      <c r="G19" s="1602"/>
      <c r="H19" s="1603"/>
      <c r="I19" s="1603"/>
      <c r="J19" s="1603"/>
      <c r="K19" s="1603"/>
      <c r="L19" s="1603"/>
      <c r="M19" s="1603"/>
      <c r="N19" s="1603"/>
      <c r="O19" s="1603"/>
      <c r="P19" s="1604"/>
      <c r="Q19" s="52"/>
      <c r="R19" s="1602"/>
      <c r="S19" s="1603"/>
      <c r="T19" s="1603"/>
      <c r="U19" s="1603"/>
      <c r="V19" s="1603"/>
      <c r="W19" s="1603"/>
      <c r="X19" s="1603"/>
      <c r="Y19" s="1603"/>
      <c r="Z19" s="1603"/>
      <c r="AA19" s="1604"/>
      <c r="AB19" s="106"/>
      <c r="AC19" s="129"/>
      <c r="AD19" s="129"/>
      <c r="AE19" s="129"/>
      <c r="AF19" s="129"/>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row>
    <row r="20" spans="1:157" ht="18.75" customHeight="1" x14ac:dyDescent="0.25">
      <c r="A20" s="1521"/>
      <c r="B20" s="1521"/>
      <c r="C20" s="1521"/>
      <c r="D20" s="1521"/>
      <c r="E20" s="1521"/>
      <c r="F20" s="1521"/>
      <c r="G20" s="1605"/>
      <c r="H20" s="1606"/>
      <c r="I20" s="1606"/>
      <c r="J20" s="1606"/>
      <c r="K20" s="1606"/>
      <c r="L20" s="1606"/>
      <c r="M20" s="1606"/>
      <c r="N20" s="1606"/>
      <c r="O20" s="1606"/>
      <c r="P20" s="1607"/>
      <c r="Q20" s="52"/>
      <c r="R20" s="1605"/>
      <c r="S20" s="1606"/>
      <c r="T20" s="1606"/>
      <c r="U20" s="1606"/>
      <c r="V20" s="1606"/>
      <c r="W20" s="1606"/>
      <c r="X20" s="1606"/>
      <c r="Y20" s="1606"/>
      <c r="Z20" s="1606"/>
      <c r="AA20" s="1607"/>
    </row>
    <row r="21" spans="1:157" ht="18.75" customHeight="1" x14ac:dyDescent="0.25">
      <c r="A21" s="1521" t="s">
        <v>273</v>
      </c>
      <c r="B21" s="1521"/>
      <c r="C21" s="1521"/>
      <c r="D21" s="1521"/>
      <c r="E21" s="1521"/>
      <c r="F21" s="1521"/>
      <c r="G21" s="1523"/>
      <c r="H21" s="1524"/>
      <c r="I21" s="1524"/>
      <c r="J21" s="1524"/>
      <c r="K21" s="1525"/>
      <c r="L21" s="1523" t="str">
        <f>IF(G6="","",+G6)</f>
        <v/>
      </c>
      <c r="M21" s="1524"/>
      <c r="N21" s="1524"/>
      <c r="O21" s="1524"/>
      <c r="P21" s="1525"/>
      <c r="Q21" s="52"/>
      <c r="R21" s="1523"/>
      <c r="S21" s="1524"/>
      <c r="T21" s="1524"/>
      <c r="U21" s="1524"/>
      <c r="V21" s="1525"/>
      <c r="W21" s="1523" t="str">
        <f>IF(R6="","",+R6)</f>
        <v/>
      </c>
      <c r="X21" s="1524"/>
      <c r="Y21" s="1524"/>
      <c r="Z21" s="1524"/>
      <c r="AA21" s="1525"/>
    </row>
    <row r="22" spans="1:157" ht="18.75" customHeight="1" x14ac:dyDescent="0.25">
      <c r="A22" s="638"/>
      <c r="B22" s="638"/>
      <c r="C22" s="638"/>
      <c r="D22" s="638"/>
      <c r="E22" s="641"/>
      <c r="F22" s="641"/>
      <c r="G22" s="1599" t="str">
        <f>IF(G21="","",+BM9)</f>
        <v/>
      </c>
      <c r="H22" s="1599"/>
      <c r="I22" s="1599" t="str">
        <f>IF(G19="","",+AJ10)</f>
        <v/>
      </c>
      <c r="J22" s="1599"/>
      <c r="K22" s="1599"/>
      <c r="L22" s="1599"/>
      <c r="M22" s="1599"/>
      <c r="N22" s="1599"/>
      <c r="O22" s="1599"/>
      <c r="P22" s="1599"/>
      <c r="Q22" s="627"/>
      <c r="R22" s="1599" t="str">
        <f>IF(R21="","",+BN9)</f>
        <v/>
      </c>
      <c r="S22" s="1599"/>
      <c r="T22" s="1599" t="str">
        <f>IF(R19="","",+AJ11)</f>
        <v/>
      </c>
      <c r="U22" s="1599"/>
      <c r="V22" s="1599"/>
      <c r="W22" s="1599"/>
      <c r="X22" s="1599"/>
      <c r="Y22" s="1599"/>
      <c r="Z22" s="1599"/>
      <c r="AA22" s="1599"/>
    </row>
    <row r="23" spans="1:157" ht="15.75" x14ac:dyDescent="0.25">
      <c r="A23" s="638"/>
      <c r="B23" s="638"/>
      <c r="C23" s="638"/>
      <c r="D23" s="638"/>
      <c r="E23" s="641"/>
      <c r="F23" s="641"/>
      <c r="G23" s="727"/>
      <c r="H23" s="727"/>
      <c r="I23" s="727"/>
      <c r="J23" s="727"/>
      <c r="K23" s="727"/>
      <c r="L23" s="727"/>
      <c r="M23" s="727"/>
      <c r="N23" s="727"/>
      <c r="O23" s="727"/>
      <c r="P23" s="727"/>
      <c r="Q23" s="627"/>
      <c r="R23" s="727"/>
      <c r="S23" s="727"/>
      <c r="T23" s="727"/>
      <c r="U23" s="727"/>
      <c r="V23" s="727"/>
      <c r="W23" s="727"/>
      <c r="X23" s="727"/>
      <c r="Y23" s="727"/>
      <c r="Z23" s="727"/>
      <c r="AA23" s="727"/>
    </row>
    <row r="24" spans="1:157" ht="15" x14ac:dyDescent="0.25">
      <c r="G24" s="1610"/>
      <c r="H24" s="1610"/>
      <c r="I24" s="1610"/>
      <c r="J24" s="1610"/>
      <c r="K24" s="1610"/>
      <c r="L24" s="1610"/>
      <c r="M24" s="1610"/>
      <c r="N24" s="1610"/>
      <c r="O24" s="1610"/>
      <c r="P24" s="1610"/>
      <c r="Q24" s="622"/>
      <c r="R24" s="1610"/>
      <c r="S24" s="1610"/>
      <c r="T24" s="1610"/>
      <c r="U24" s="1610"/>
      <c r="V24" s="1610"/>
      <c r="W24" s="1610"/>
      <c r="X24" s="1610"/>
      <c r="Y24" s="1610"/>
      <c r="Z24" s="1610"/>
      <c r="AA24" s="1610"/>
    </row>
    <row r="25" spans="1:157" ht="26.25" x14ac:dyDescent="0.25">
      <c r="A25" s="1533" t="s">
        <v>8</v>
      </c>
      <c r="B25" s="1533"/>
      <c r="C25" s="1533"/>
      <c r="D25" s="1533"/>
      <c r="E25" s="1533"/>
      <c r="F25" s="1533"/>
      <c r="G25" s="1533"/>
      <c r="H25" s="1533"/>
      <c r="I25" s="1533"/>
      <c r="J25" s="1533"/>
      <c r="K25" s="1533"/>
      <c r="L25" s="1533"/>
      <c r="M25" s="1533"/>
      <c r="N25" s="1533"/>
      <c r="O25" s="1533"/>
      <c r="P25" s="1533"/>
      <c r="Q25" s="1533"/>
      <c r="R25" s="1533"/>
      <c r="S25" s="1533"/>
      <c r="T25" s="1533"/>
      <c r="U25" s="1533"/>
      <c r="V25" s="1533"/>
      <c r="W25" s="1533"/>
      <c r="X25" s="1533"/>
      <c r="Y25" s="1533"/>
      <c r="Z25" s="1533"/>
      <c r="AA25" s="1533"/>
    </row>
    <row r="26" spans="1:157" ht="18.75" customHeight="1" x14ac:dyDescent="0.25">
      <c r="A26" s="721"/>
      <c r="B26" s="721"/>
      <c r="C26" s="721"/>
      <c r="D26" s="721"/>
      <c r="E26" s="721"/>
      <c r="F26" s="721"/>
      <c r="G26" s="26"/>
      <c r="H26" s="26"/>
      <c r="I26" s="26"/>
      <c r="J26" s="26"/>
      <c r="K26" s="26"/>
      <c r="L26" s="23"/>
      <c r="M26" s="23"/>
      <c r="N26" s="1609" t="b">
        <v>0</v>
      </c>
      <c r="O26" s="1609"/>
      <c r="P26" s="1609"/>
      <c r="R26" s="26"/>
      <c r="S26" s="26"/>
      <c r="T26" s="26"/>
      <c r="U26" s="26"/>
      <c r="V26" s="26"/>
      <c r="Y26" s="1609" t="b">
        <v>0</v>
      </c>
      <c r="Z26" s="1609"/>
      <c r="AA26" s="1609"/>
    </row>
    <row r="27" spans="1:157" ht="18.75" customHeight="1" x14ac:dyDescent="0.25">
      <c r="A27" s="1521"/>
      <c r="B27" s="1521"/>
      <c r="C27" s="1521"/>
      <c r="D27" s="1521"/>
      <c r="E27" s="1521"/>
      <c r="F27" s="1521"/>
      <c r="G27" s="1602" t="str">
        <f>IF(N26=TRUE,+G4,"")</f>
        <v/>
      </c>
      <c r="H27" s="1603"/>
      <c r="I27" s="1603"/>
      <c r="J27" s="1603"/>
      <c r="K27" s="1603"/>
      <c r="L27" s="1603"/>
      <c r="M27" s="1603"/>
      <c r="N27" s="1603"/>
      <c r="O27" s="1603"/>
      <c r="P27" s="1604"/>
      <c r="Q27" s="52"/>
      <c r="R27" s="1602" t="str">
        <f>IF(Y26=TRUE,+R4,"")</f>
        <v/>
      </c>
      <c r="S27" s="1603"/>
      <c r="T27" s="1603"/>
      <c r="U27" s="1603"/>
      <c r="V27" s="1603"/>
      <c r="W27" s="1603"/>
      <c r="X27" s="1603"/>
      <c r="Y27" s="1603"/>
      <c r="Z27" s="1603"/>
      <c r="AA27" s="1604"/>
    </row>
    <row r="28" spans="1:157" ht="18.75" customHeight="1" x14ac:dyDescent="0.25">
      <c r="A28" s="1521"/>
      <c r="B28" s="1521"/>
      <c r="C28" s="1521"/>
      <c r="D28" s="1521"/>
      <c r="E28" s="1521"/>
      <c r="F28" s="1521"/>
      <c r="G28" s="1605"/>
      <c r="H28" s="1606"/>
      <c r="I28" s="1606"/>
      <c r="J28" s="1606"/>
      <c r="K28" s="1606"/>
      <c r="L28" s="1606"/>
      <c r="M28" s="1606"/>
      <c r="N28" s="1606"/>
      <c r="O28" s="1606"/>
      <c r="P28" s="1607"/>
      <c r="Q28" s="52"/>
      <c r="R28" s="1605"/>
      <c r="S28" s="1606"/>
      <c r="T28" s="1606"/>
      <c r="U28" s="1606"/>
      <c r="V28" s="1606"/>
      <c r="W28" s="1606"/>
      <c r="X28" s="1606"/>
      <c r="Y28" s="1606"/>
      <c r="Z28" s="1606"/>
      <c r="AA28" s="1607"/>
    </row>
    <row r="29" spans="1:157" ht="18.75" customHeight="1" x14ac:dyDescent="0.25">
      <c r="A29" s="1598"/>
      <c r="B29" s="1598"/>
      <c r="C29" s="1598"/>
      <c r="D29" s="1598"/>
      <c r="E29" s="1598"/>
      <c r="F29" s="1598"/>
      <c r="H29" s="744"/>
      <c r="I29" s="1599" t="str">
        <f>IF(SUM(G27)=0,G27)</f>
        <v/>
      </c>
      <c r="J29" s="1599"/>
      <c r="K29" s="1599"/>
      <c r="L29" s="1599"/>
      <c r="M29" s="1599"/>
      <c r="N29" s="1599"/>
      <c r="O29" s="1599"/>
      <c r="P29" s="1599"/>
      <c r="Q29" s="626"/>
      <c r="S29" s="744"/>
      <c r="T29" s="1599" t="str">
        <f>IF(SUM(R27)=0,R27)</f>
        <v/>
      </c>
      <c r="U29" s="1599"/>
      <c r="V29" s="1599"/>
      <c r="W29" s="1599"/>
      <c r="X29" s="1599"/>
      <c r="Y29" s="1599"/>
      <c r="Z29" s="1599"/>
      <c r="AA29" s="1599"/>
    </row>
    <row r="30" spans="1:157" ht="18.75" customHeight="1" x14ac:dyDescent="0.25">
      <c r="G30" s="620"/>
      <c r="H30" s="620"/>
      <c r="I30" s="620"/>
      <c r="J30" s="620"/>
      <c r="K30" s="620"/>
      <c r="L30" s="620"/>
      <c r="M30" s="620"/>
      <c r="N30" s="620"/>
      <c r="O30" s="620"/>
      <c r="P30" s="620"/>
      <c r="Q30" s="622"/>
      <c r="R30" s="620"/>
      <c r="S30" s="620"/>
      <c r="T30" s="620"/>
      <c r="U30" s="620"/>
      <c r="V30" s="620"/>
      <c r="W30" s="620"/>
      <c r="X30" s="620"/>
      <c r="Y30" s="620"/>
      <c r="Z30" s="620"/>
      <c r="AA30" s="620"/>
    </row>
  </sheetData>
  <mergeCells count="68">
    <mergeCell ref="A1:P1"/>
    <mergeCell ref="A19:F19"/>
    <mergeCell ref="A27:F27"/>
    <mergeCell ref="A17:AA17"/>
    <mergeCell ref="A25:AA25"/>
    <mergeCell ref="N26:P26"/>
    <mergeCell ref="Y26:AA26"/>
    <mergeCell ref="A21:F21"/>
    <mergeCell ref="G21:K21"/>
    <mergeCell ref="L21:P21"/>
    <mergeCell ref="R21:V21"/>
    <mergeCell ref="A2:AA2"/>
    <mergeCell ref="A4:F4"/>
    <mergeCell ref="G4:P5"/>
    <mergeCell ref="R4:AA5"/>
    <mergeCell ref="A5:F5"/>
    <mergeCell ref="A6:F6"/>
    <mergeCell ref="G6:K6"/>
    <mergeCell ref="L6:P6"/>
    <mergeCell ref="R6:V6"/>
    <mergeCell ref="W6:AA6"/>
    <mergeCell ref="BR8:BT8"/>
    <mergeCell ref="BY8:CA8"/>
    <mergeCell ref="A10:AB10"/>
    <mergeCell ref="W7:X7"/>
    <mergeCell ref="Y7:AA7"/>
    <mergeCell ref="A8:F8"/>
    <mergeCell ref="G8:H8"/>
    <mergeCell ref="I8:P8"/>
    <mergeCell ref="R8:S8"/>
    <mergeCell ref="T8:AA8"/>
    <mergeCell ref="A7:F7"/>
    <mergeCell ref="G7:J7"/>
    <mergeCell ref="L7:M7"/>
    <mergeCell ref="N7:P7"/>
    <mergeCell ref="R7:U7"/>
    <mergeCell ref="L9:M9"/>
    <mergeCell ref="N9:P9"/>
    <mergeCell ref="W9:X9"/>
    <mergeCell ref="Y9:AA9"/>
    <mergeCell ref="A13:F13"/>
    <mergeCell ref="G13:P14"/>
    <mergeCell ref="R13:AA14"/>
    <mergeCell ref="A14:F14"/>
    <mergeCell ref="A11:AA11"/>
    <mergeCell ref="L15:M15"/>
    <mergeCell ref="N15:P15"/>
    <mergeCell ref="W15:X15"/>
    <mergeCell ref="Y15:AA15"/>
    <mergeCell ref="G27:P28"/>
    <mergeCell ref="R27:AA28"/>
    <mergeCell ref="A16:AB16"/>
    <mergeCell ref="N18:P18"/>
    <mergeCell ref="Y18:AA18"/>
    <mergeCell ref="G19:P20"/>
    <mergeCell ref="R19:AA20"/>
    <mergeCell ref="A20:F20"/>
    <mergeCell ref="A28:F28"/>
    <mergeCell ref="G24:P24"/>
    <mergeCell ref="R24:AA24"/>
    <mergeCell ref="A29:F29"/>
    <mergeCell ref="W21:AA21"/>
    <mergeCell ref="G22:H22"/>
    <mergeCell ref="I22:P22"/>
    <mergeCell ref="R22:S22"/>
    <mergeCell ref="T22:AA22"/>
    <mergeCell ref="I29:P29"/>
    <mergeCell ref="T29:AA29"/>
  </mergeCells>
  <conditionalFormatting sqref="L6:P6">
    <cfRule type="expression" dxfId="177" priority="10">
      <formula>$L$6="Status"</formula>
    </cfRule>
  </conditionalFormatting>
  <conditionalFormatting sqref="N7:P7">
    <cfRule type="expression" dxfId="176" priority="7">
      <formula>$L$6="Renting"</formula>
    </cfRule>
  </conditionalFormatting>
  <conditionalFormatting sqref="Y7:AA7">
    <cfRule type="expression" dxfId="175" priority="2">
      <formula>$L$6="Renting"</formula>
    </cfRule>
  </conditionalFormatting>
  <conditionalFormatting sqref="W6:AA6">
    <cfRule type="expression" dxfId="174" priority="1">
      <formula>$L$6="Status"</formula>
    </cfRule>
  </conditionalFormatting>
  <dataValidations count="1">
    <dataValidation type="list" allowBlank="1" showInputMessage="1" showErrorMessage="1" sqref="Y7">
      <formula1>$Z$30:$Z$35</formula1>
    </dataValidation>
  </dataValidations>
  <hyperlinks>
    <hyperlink ref="AD4" r:id="rId1"/>
    <hyperlink ref="AD6" r:id="rId2"/>
  </hyperlinks>
  <printOptions horizontalCentered="1"/>
  <pageMargins left="0.23622047244094491" right="3.937007874015748E-2" top="0.74803149606299213" bottom="0.74803149606299213" header="0.31496062992125984" footer="0.31496062992125984"/>
  <pageSetup paperSize="9" orientation="portrait" r:id="rId3"/>
  <headerFooter alignWithMargins="0">
    <oddHeader>&amp;C&amp;G</oddHeader>
    <oddFooter>&amp;R&amp;G</oddFooter>
  </headerFooter>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53251" r:id="rId7" name="Check Box 3">
              <controlPr defaultSize="0" autoFill="0" autoLine="0" autoPict="0">
                <anchor moveWithCells="1">
                  <from>
                    <xdr:col>5</xdr:col>
                    <xdr:colOff>257175</xdr:colOff>
                    <xdr:row>11</xdr:row>
                    <xdr:rowOff>28575</xdr:rowOff>
                  </from>
                  <to>
                    <xdr:col>12</xdr:col>
                    <xdr:colOff>19050</xdr:colOff>
                    <xdr:row>11</xdr:row>
                    <xdr:rowOff>228600</xdr:rowOff>
                  </to>
                </anchor>
              </controlPr>
            </control>
          </mc:Choice>
        </mc:AlternateContent>
        <mc:AlternateContent xmlns:mc="http://schemas.openxmlformats.org/markup-compatibility/2006">
          <mc:Choice Requires="x14">
            <control shapeId="53252" r:id="rId8" name="Check Box 4">
              <controlPr locked="0" defaultSize="0" autoFill="0" autoLine="0" autoPict="0">
                <anchor moveWithCells="1">
                  <from>
                    <xdr:col>17</xdr:col>
                    <xdr:colOff>28575</xdr:colOff>
                    <xdr:row>11</xdr:row>
                    <xdr:rowOff>0</xdr:rowOff>
                  </from>
                  <to>
                    <xdr:col>23</xdr:col>
                    <xdr:colOff>66675</xdr:colOff>
                    <xdr:row>11</xdr:row>
                    <xdr:rowOff>228600</xdr:rowOff>
                  </to>
                </anchor>
              </controlPr>
            </control>
          </mc:Choice>
        </mc:AlternateContent>
        <mc:AlternateContent xmlns:mc="http://schemas.openxmlformats.org/markup-compatibility/2006">
          <mc:Choice Requires="x14">
            <control shapeId="53253" r:id="rId9" name="Check Box 5">
              <controlPr defaultSize="0" autoFill="0" autoLine="0" autoPict="0">
                <anchor moveWithCells="1">
                  <from>
                    <xdr:col>5</xdr:col>
                    <xdr:colOff>257175</xdr:colOff>
                    <xdr:row>25</xdr:row>
                    <xdr:rowOff>28575</xdr:rowOff>
                  </from>
                  <to>
                    <xdr:col>12</xdr:col>
                    <xdr:colOff>19050</xdr:colOff>
                    <xdr:row>25</xdr:row>
                    <xdr:rowOff>228600</xdr:rowOff>
                  </to>
                </anchor>
              </controlPr>
            </control>
          </mc:Choice>
        </mc:AlternateContent>
        <mc:AlternateContent xmlns:mc="http://schemas.openxmlformats.org/markup-compatibility/2006">
          <mc:Choice Requires="x14">
            <control shapeId="53254" r:id="rId10" name="Check Box 6">
              <controlPr locked="0" defaultSize="0" autoFill="0" autoLine="0" autoPict="0">
                <anchor moveWithCells="1">
                  <from>
                    <xdr:col>16</xdr:col>
                    <xdr:colOff>238125</xdr:colOff>
                    <xdr:row>25</xdr:row>
                    <xdr:rowOff>28575</xdr:rowOff>
                  </from>
                  <to>
                    <xdr:col>23</xdr:col>
                    <xdr:colOff>19050</xdr:colOff>
                    <xdr:row>26</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Settings!$Z$29:$Z$34</xm:f>
          </x14:formula1>
          <xm:sqref>N7</xm:sqref>
        </x14:dataValidation>
        <x14:dataValidation type="list" allowBlank="1" showInputMessage="1" showErrorMessage="1">
          <x14:formula1>
            <xm:f>Settings!$Z$19:$Z$25</xm:f>
          </x14:formula1>
          <xm:sqref>L6 W6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M41"/>
  <sheetViews>
    <sheetView showGridLines="0" showRuler="0" view="pageLayout" zoomScale="98" zoomScaleNormal="100" zoomScalePageLayoutView="98" workbookViewId="0">
      <selection activeCell="AF1" sqref="AF1"/>
    </sheetView>
  </sheetViews>
  <sheetFormatPr defaultColWidth="3.5703125" defaultRowHeight="18.75" customHeight="1" x14ac:dyDescent="0.25"/>
  <cols>
    <col min="1" max="16" width="3.5703125" style="21"/>
    <col min="17" max="17" width="3.5703125" style="23"/>
    <col min="18" max="27" width="3.5703125" style="21"/>
    <col min="28" max="28" width="3.5703125" style="21" customWidth="1"/>
    <col min="29" max="30" width="10.5703125" style="94" customWidth="1"/>
    <col min="31" max="32" width="7.5703125" style="94" customWidth="1"/>
    <col min="33" max="33" width="9.140625" style="94" bestFit="1" customWidth="1"/>
    <col min="34" max="38" width="8.7109375" style="94" bestFit="1" customWidth="1"/>
    <col min="39" max="39" width="8" style="94" bestFit="1" customWidth="1"/>
    <col min="40" max="45" width="3.5703125" style="94"/>
    <col min="46" max="68" width="3.5703125" style="129"/>
    <col min="69" max="75" width="3.5703125" style="21"/>
    <col min="76" max="81" width="9.85546875" style="21" bestFit="1" customWidth="1"/>
    <col min="82" max="82" width="3" style="21" bestFit="1" customWidth="1"/>
    <col min="83" max="83" width="10.85546875" style="21" bestFit="1" customWidth="1"/>
    <col min="84" max="84" width="7.140625" style="21" bestFit="1" customWidth="1"/>
    <col min="85" max="85" width="3" style="21" bestFit="1" customWidth="1"/>
    <col min="86" max="86" width="6.5703125" style="21" bestFit="1" customWidth="1"/>
    <col min="87" max="87" width="3" style="21" bestFit="1" customWidth="1"/>
    <col min="88" max="88" width="5" style="21" bestFit="1" customWidth="1"/>
    <col min="89" max="90" width="3" style="21" bestFit="1" customWidth="1"/>
    <col min="91" max="16384" width="3.5703125" style="21"/>
  </cols>
  <sheetData>
    <row r="1" spans="1:91" ht="60" customHeight="1" x14ac:dyDescent="0.25">
      <c r="A1" s="2283" t="s">
        <v>414</v>
      </c>
      <c r="B1" s="2283"/>
      <c r="C1" s="2283"/>
      <c r="D1" s="2283"/>
      <c r="E1" s="2283"/>
      <c r="F1" s="2283"/>
      <c r="G1" s="2283"/>
      <c r="H1" s="2283"/>
      <c r="I1" s="2283"/>
      <c r="J1" s="2283"/>
      <c r="K1" s="2283"/>
      <c r="L1" s="2283"/>
      <c r="M1" s="2283"/>
      <c r="N1" s="2283"/>
      <c r="O1" s="2283"/>
      <c r="P1" s="2283"/>
      <c r="Q1" s="2283"/>
      <c r="R1" s="2283"/>
      <c r="S1" s="2283"/>
      <c r="T1" s="2283"/>
      <c r="U1" s="2283"/>
      <c r="AC1" s="871" t="s">
        <v>434</v>
      </c>
      <c r="AD1" s="871"/>
      <c r="AE1" s="871"/>
      <c r="AF1" s="871"/>
      <c r="AG1" s="871"/>
      <c r="AH1" s="871"/>
      <c r="AI1" s="871"/>
      <c r="AJ1" s="871"/>
      <c r="AK1" s="871"/>
      <c r="AL1" s="871"/>
      <c r="AM1" s="871"/>
      <c r="AN1" s="871"/>
      <c r="AO1" s="871"/>
      <c r="AP1" s="871"/>
      <c r="AQ1" s="871"/>
      <c r="AR1" s="871"/>
      <c r="AS1" s="871"/>
      <c r="AT1" s="871"/>
      <c r="AU1" s="871"/>
      <c r="AV1" s="871"/>
      <c r="AW1" s="871"/>
      <c r="AX1" s="871"/>
      <c r="AY1" s="871"/>
      <c r="AZ1" s="871"/>
    </row>
    <row r="2" spans="1:91" ht="15"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row>
    <row r="3" spans="1:91" s="192" customFormat="1" ht="15"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t="s">
        <v>685</v>
      </c>
      <c r="T3" s="1724"/>
      <c r="U3" s="1724"/>
      <c r="V3" s="1727" t="str">
        <f>+Funding!U3</f>
        <v>Purchase - Invest</v>
      </c>
      <c r="W3" s="1727"/>
      <c r="X3" s="1727"/>
      <c r="Y3" s="1727"/>
      <c r="Z3" s="1727"/>
      <c r="AA3" s="1727"/>
      <c r="AB3" s="21"/>
      <c r="AC3" s="190"/>
      <c r="AD3" s="190"/>
      <c r="AE3" s="190"/>
      <c r="AF3" s="190"/>
      <c r="AG3" s="190"/>
      <c r="AH3" s="190"/>
      <c r="AI3" s="190"/>
      <c r="AJ3" s="190"/>
      <c r="AK3" s="190"/>
      <c r="AL3" s="190"/>
      <c r="AM3" s="190"/>
      <c r="AN3" s="190"/>
      <c r="AO3" s="190"/>
      <c r="AP3" s="191"/>
      <c r="AQ3" s="191"/>
      <c r="AR3" s="191"/>
      <c r="AS3" s="191"/>
      <c r="AT3" s="191"/>
      <c r="AU3" s="191"/>
      <c r="AV3" s="191"/>
      <c r="AW3" s="191"/>
      <c r="AX3" s="191"/>
      <c r="AY3" s="191"/>
      <c r="AZ3" s="191"/>
      <c r="BA3" s="191"/>
      <c r="BB3" s="191"/>
      <c r="BC3" s="191"/>
      <c r="BD3" s="191"/>
      <c r="BE3" s="191"/>
      <c r="BF3" s="191"/>
      <c r="BG3" s="191"/>
      <c r="BH3" s="191"/>
    </row>
    <row r="4" spans="1:91" ht="15.75" thickBot="1" x14ac:dyDescent="0.3">
      <c r="A4" s="686"/>
      <c r="B4" s="1724" t="s">
        <v>670</v>
      </c>
      <c r="C4" s="1724"/>
      <c r="D4" s="1724"/>
      <c r="E4" s="1724"/>
      <c r="F4" s="1724"/>
      <c r="G4" s="687"/>
      <c r="H4" s="1725">
        <f>+Purchase</f>
        <v>0</v>
      </c>
      <c r="I4" s="1725"/>
      <c r="J4" s="1725"/>
      <c r="K4" s="688"/>
      <c r="L4" s="688"/>
      <c r="M4" s="688"/>
      <c r="N4" s="688"/>
      <c r="O4" s="688"/>
      <c r="P4" s="688"/>
      <c r="Q4" s="688"/>
      <c r="R4" s="688"/>
      <c r="S4" s="1724" t="s">
        <v>686</v>
      </c>
      <c r="T4" s="1724"/>
      <c r="U4" s="1724"/>
      <c r="V4" s="1727" t="str">
        <f>+Funding!U4</f>
        <v/>
      </c>
      <c r="W4" s="1727"/>
      <c r="X4" s="1727"/>
      <c r="Y4" s="1727"/>
      <c r="Z4" s="1727"/>
      <c r="AA4" s="686"/>
    </row>
    <row r="5" spans="1:91" s="1" customFormat="1" ht="15" x14ac:dyDescent="0.25">
      <c r="A5" s="689"/>
      <c r="B5" s="689"/>
      <c r="C5" s="689"/>
      <c r="D5" s="689"/>
      <c r="E5" s="689"/>
      <c r="F5" s="689"/>
      <c r="G5" s="689"/>
      <c r="H5" s="689"/>
      <c r="I5" s="690"/>
      <c r="J5" s="690"/>
      <c r="K5" s="689"/>
      <c r="L5" s="689"/>
      <c r="M5" s="689"/>
      <c r="N5" s="689"/>
      <c r="O5" s="689"/>
      <c r="P5" s="689"/>
      <c r="Q5" s="689"/>
      <c r="R5" s="689"/>
      <c r="S5" s="689"/>
      <c r="T5" s="689"/>
      <c r="U5" s="689"/>
      <c r="V5" s="689"/>
      <c r="W5" s="689"/>
      <c r="X5" s="689"/>
      <c r="Y5" s="689"/>
      <c r="Z5" s="689"/>
      <c r="AA5" s="689"/>
      <c r="AC5" s="135"/>
      <c r="AD5" s="872"/>
      <c r="AE5" s="132"/>
      <c r="AF5" s="132"/>
      <c r="AG5" s="145">
        <f>+I9</f>
        <v>-100000</v>
      </c>
      <c r="AH5" s="145">
        <f>+L9</f>
        <v>-50000</v>
      </c>
      <c r="AI5" s="807">
        <f>+O9</f>
        <v>0</v>
      </c>
      <c r="AJ5" s="145">
        <f>+R9</f>
        <v>50000</v>
      </c>
      <c r="AK5" s="145">
        <f>+U9</f>
        <v>100000</v>
      </c>
      <c r="AL5" s="145">
        <f>+X9</f>
        <v>150000</v>
      </c>
      <c r="AM5" s="94"/>
      <c r="AN5" s="135"/>
      <c r="AO5" s="135"/>
      <c r="AP5" s="135"/>
      <c r="AQ5" s="135"/>
      <c r="AR5" s="135"/>
      <c r="AS5" s="135"/>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91" s="709" customFormat="1" ht="11.25" x14ac:dyDescent="0.2">
      <c r="A6" s="689"/>
      <c r="B6" s="1722" t="e">
        <f xml:space="preserve"> CONCATENATE("Proposed Budgets based on a set LVR (ie different purchase price with a ",+V4*100,"% Loan")</f>
        <v>#VALUE!</v>
      </c>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1722"/>
      <c r="AA6" s="689"/>
      <c r="AC6" s="680"/>
      <c r="AD6" s="710"/>
      <c r="AE6" s="711" t="s">
        <v>35</v>
      </c>
      <c r="AF6" s="711" t="s">
        <v>36</v>
      </c>
      <c r="AG6" s="711" t="s">
        <v>37</v>
      </c>
      <c r="AH6" s="803" t="s">
        <v>218</v>
      </c>
      <c r="AI6" s="808" t="s">
        <v>219</v>
      </c>
      <c r="AJ6" s="805" t="s">
        <v>220</v>
      </c>
      <c r="AK6" s="711" t="s">
        <v>221</v>
      </c>
      <c r="AL6" s="711" t="s">
        <v>222</v>
      </c>
      <c r="AM6" s="870"/>
      <c r="AN6" s="680"/>
      <c r="AO6" s="680"/>
      <c r="AP6" s="680"/>
      <c r="AQ6" s="680"/>
      <c r="AR6" s="680"/>
      <c r="AS6" s="680"/>
      <c r="AT6" s="680"/>
      <c r="AU6" s="680"/>
      <c r="AV6" s="680"/>
      <c r="AW6" s="680"/>
      <c r="AX6" s="680"/>
      <c r="AY6" s="680"/>
      <c r="AZ6" s="680"/>
      <c r="BA6" s="680"/>
      <c r="BB6" s="680"/>
      <c r="BC6" s="680"/>
      <c r="BD6" s="680"/>
      <c r="BE6" s="680"/>
      <c r="BF6" s="680"/>
      <c r="BG6" s="680"/>
      <c r="BH6" s="680"/>
      <c r="BI6" s="680"/>
      <c r="BJ6" s="680"/>
      <c r="BK6" s="680"/>
      <c r="BL6" s="680"/>
      <c r="BM6" s="680"/>
      <c r="BN6" s="680"/>
      <c r="BO6" s="680"/>
      <c r="BP6" s="680"/>
    </row>
    <row r="7" spans="1:91" s="1" customFormat="1" ht="18.75" customHeight="1" thickBot="1" x14ac:dyDescent="0.3">
      <c r="A7" s="2432"/>
      <c r="B7" s="2432"/>
      <c r="C7" s="2432"/>
      <c r="D7" s="2432"/>
      <c r="E7" s="2432"/>
      <c r="F7" s="2432"/>
      <c r="G7" s="2432"/>
      <c r="H7" s="2432"/>
      <c r="I7" s="2432"/>
      <c r="J7" s="2432"/>
      <c r="K7" s="2432"/>
      <c r="L7" s="2432"/>
      <c r="M7" s="2432"/>
      <c r="N7" s="2432"/>
      <c r="O7" s="2432"/>
      <c r="P7" s="2432"/>
      <c r="Q7" s="2432"/>
      <c r="R7" s="2432"/>
      <c r="S7" s="2432"/>
      <c r="T7" s="2432"/>
      <c r="U7" s="2432"/>
      <c r="V7" s="2432"/>
      <c r="W7" s="2432"/>
      <c r="X7" s="2426" t="s">
        <v>224</v>
      </c>
      <c r="Y7" s="2426"/>
      <c r="Z7" s="2426"/>
      <c r="AA7" s="104"/>
      <c r="AB7" s="65"/>
      <c r="AC7" s="135"/>
      <c r="AD7" s="147" t="s">
        <v>39</v>
      </c>
      <c r="AE7" s="134">
        <f>+Settings!W4</f>
        <v>262</v>
      </c>
      <c r="AF7" s="134">
        <f>+Settings!X4</f>
        <v>135</v>
      </c>
      <c r="AG7" s="134" t="str">
        <f t="shared" ref="AG7:AL7" si="0">IF(AND(BX13&gt;=0,BX13&lt;200000),2*INT((BX13)/100),IF(AND(BX13&gt;=200000,BX13&lt;300000),4000+3.5*INT((BX13-199901)/100),IF(AND(BX13&gt;=300000,BX13&lt;500000),7500+4.15*INT((BX13-299901)/100),IF(AND(BX13&gt;=500000,BX13&lt;750000),15800+5*INT((BX13-499901)/100),IF(AND(BX13&gt;=750000,BX13&lt;1000000),28300+6.5*INT((BX13-749901)/100),IF(AND(BX13&gt;=1000000,BX13&lt;1455000),44550+7*INT((BX13-999901)/100),IF(BX13&gt;=1455000,5.25*INT((BX13)/100),"Check")))))))</f>
        <v>Check</v>
      </c>
      <c r="AH7" s="804" t="str">
        <f t="shared" si="0"/>
        <v>Check</v>
      </c>
      <c r="AI7" s="809">
        <f t="shared" si="0"/>
        <v>0</v>
      </c>
      <c r="AJ7" s="806">
        <f t="shared" si="0"/>
        <v>1000</v>
      </c>
      <c r="AK7" s="134">
        <f t="shared" si="0"/>
        <v>2000</v>
      </c>
      <c r="AL7" s="134">
        <f t="shared" si="0"/>
        <v>3000</v>
      </c>
      <c r="AM7" s="94"/>
      <c r="AN7" s="135"/>
      <c r="AO7" s="135"/>
      <c r="AP7" s="135"/>
      <c r="AQ7" s="135"/>
      <c r="AR7" s="135"/>
      <c r="AS7" s="135"/>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CE7" s="421" t="str">
        <f>+Funding!CI7</f>
        <v>WA Transfer</v>
      </c>
      <c r="CF7" s="421" t="str">
        <f>+Funding!CJ7</f>
        <v>WA Fee</v>
      </c>
      <c r="CG7" s="421"/>
      <c r="CH7" s="421" t="str">
        <f>+Funding!CL7</f>
        <v>Vic Fee</v>
      </c>
      <c r="CI7" s="421"/>
      <c r="CJ7" s="421">
        <f>+Funding!CN7</f>
        <v>0</v>
      </c>
      <c r="CK7" s="421"/>
    </row>
    <row r="8" spans="1:91" s="65" customFormat="1" ht="18.75" customHeight="1" thickTop="1" x14ac:dyDescent="0.25">
      <c r="A8" s="2430" t="s">
        <v>46</v>
      </c>
      <c r="B8" s="2430"/>
      <c r="C8" s="2430"/>
      <c r="D8" s="2430"/>
      <c r="E8" s="2430"/>
      <c r="F8" s="2430"/>
      <c r="G8" s="2430"/>
      <c r="H8" s="2430"/>
      <c r="I8" s="66"/>
      <c r="J8" s="66"/>
      <c r="K8" s="66"/>
      <c r="L8" s="66"/>
      <c r="M8" s="66"/>
      <c r="N8" s="66"/>
      <c r="O8" s="2433" t="s">
        <v>276</v>
      </c>
      <c r="P8" s="2434"/>
      <c r="Q8" s="2435"/>
      <c r="R8" s="66"/>
      <c r="S8" s="66"/>
      <c r="T8" s="66"/>
      <c r="U8" s="66"/>
      <c r="V8" s="66"/>
      <c r="W8" s="66"/>
      <c r="X8" s="2427">
        <v>50000</v>
      </c>
      <c r="Y8" s="2428"/>
      <c r="Z8" s="2429"/>
      <c r="AA8" s="66"/>
      <c r="AB8" s="1"/>
      <c r="AC8" s="146"/>
      <c r="AD8" s="147" t="s">
        <v>34</v>
      </c>
      <c r="AE8" s="134">
        <f>+Settings!W5</f>
        <v>272</v>
      </c>
      <c r="AF8" s="134">
        <f>+Settings!X5</f>
        <v>136</v>
      </c>
      <c r="AG8" s="134" t="str">
        <f t="shared" ref="AG8:AL8" si="1">IF(AND(AG5&gt;=80000,AG5&lt;300000),1290+3.5*INT((AG5-79901)/100),IF(AND(AG5&gt;=300000,AG5&lt;1000000),8990+4.5*INT((AG5-299901)/100),IF(AG5&gt;=1000000,40490+5.5*INT((AG5-999901)/100),"NO DUTY")))</f>
        <v>NO DUTY</v>
      </c>
      <c r="AH8" s="804" t="str">
        <f t="shared" si="1"/>
        <v>NO DUTY</v>
      </c>
      <c r="AI8" s="809" t="str">
        <f t="shared" si="1"/>
        <v>NO DUTY</v>
      </c>
      <c r="AJ8" s="806" t="str">
        <f t="shared" si="1"/>
        <v>NO DUTY</v>
      </c>
      <c r="AK8" s="134">
        <f t="shared" si="1"/>
        <v>1990</v>
      </c>
      <c r="AL8" s="134">
        <f t="shared" si="1"/>
        <v>3740</v>
      </c>
      <c r="AM8" s="94"/>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CE8" s="613">
        <f>+Funding!CI8</f>
        <v>0</v>
      </c>
      <c r="CF8" s="613">
        <f>+Funding!CJ8</f>
        <v>160</v>
      </c>
      <c r="CG8" s="613">
        <f>+Funding!CK8</f>
        <v>0</v>
      </c>
      <c r="CH8" s="613">
        <f>+Funding!CL8</f>
        <v>344</v>
      </c>
      <c r="CI8" s="613"/>
      <c r="CJ8" s="613">
        <f>+Funding!CN8</f>
        <v>0</v>
      </c>
      <c r="CK8" s="613"/>
    </row>
    <row r="9" spans="1:91" s="1" customFormat="1" ht="18.75" customHeight="1" x14ac:dyDescent="0.25">
      <c r="A9" s="2431" t="s">
        <v>32</v>
      </c>
      <c r="B9" s="2431"/>
      <c r="C9" s="2431"/>
      <c r="D9" s="2431"/>
      <c r="E9" s="2431"/>
      <c r="F9" s="2431"/>
      <c r="G9" s="375"/>
      <c r="H9" s="375"/>
      <c r="I9" s="2420">
        <f>+L9-X8</f>
        <v>-100000</v>
      </c>
      <c r="J9" s="2421"/>
      <c r="K9" s="2424"/>
      <c r="L9" s="2420">
        <f>+O9-X8</f>
        <v>-50000</v>
      </c>
      <c r="M9" s="2421"/>
      <c r="N9" s="2421"/>
      <c r="O9" s="2436">
        <f>+Funding!G11</f>
        <v>0</v>
      </c>
      <c r="P9" s="2437"/>
      <c r="Q9" s="2438"/>
      <c r="R9" s="2421">
        <f>+O9+X8</f>
        <v>50000</v>
      </c>
      <c r="S9" s="2421"/>
      <c r="T9" s="2424"/>
      <c r="U9" s="2420">
        <f>+R9+X8</f>
        <v>100000</v>
      </c>
      <c r="V9" s="2421"/>
      <c r="W9" s="2424"/>
      <c r="X9" s="2420">
        <f>+U9+X8</f>
        <v>150000</v>
      </c>
      <c r="Y9" s="2421"/>
      <c r="Z9" s="2424"/>
      <c r="AA9" s="21"/>
      <c r="AB9" s="65"/>
      <c r="AC9" s="135"/>
      <c r="AD9" s="147" t="s">
        <v>41</v>
      </c>
      <c r="AE9" s="134" t="str">
        <f>+Settings!W6</f>
        <v>Varies</v>
      </c>
      <c r="AF9" s="134">
        <f>+Settings!X6</f>
        <v>175</v>
      </c>
      <c r="AG9" s="134" t="str">
        <f t="shared" ref="AG9:AL9" si="2">IF(AND(BX13&gt;=75000,BX13&lt;540000),1050+3.5*INT((BX13-74901)/100),IF(AND(BX13&gt;=540000,BX13&lt;1000000),17325+4.5*INT((BX13-539901)/100),IF(BX13&gt;=1000000,38025+5.75*INT((BX13-999901)/100),"Check")))</f>
        <v>Check</v>
      </c>
      <c r="AH9" s="804" t="str">
        <f t="shared" si="2"/>
        <v>Check</v>
      </c>
      <c r="AI9" s="809" t="str">
        <f t="shared" si="2"/>
        <v>Check</v>
      </c>
      <c r="AJ9" s="806" t="str">
        <f t="shared" si="2"/>
        <v>Check</v>
      </c>
      <c r="AK9" s="134">
        <f t="shared" si="2"/>
        <v>1925</v>
      </c>
      <c r="AL9" s="134">
        <f t="shared" si="2"/>
        <v>3675</v>
      </c>
      <c r="AM9" s="94"/>
      <c r="AN9" s="135"/>
      <c r="AO9" s="135"/>
      <c r="AP9" s="135"/>
      <c r="AQ9" s="135"/>
      <c r="AR9" s="135"/>
      <c r="AS9" s="135"/>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CE9" s="613">
        <f>+Funding!CI9</f>
        <v>85000</v>
      </c>
      <c r="CF9" s="613">
        <f>+Funding!CJ9</f>
        <v>160</v>
      </c>
      <c r="CG9" s="613">
        <f>+Funding!CK9</f>
        <v>0</v>
      </c>
      <c r="CH9" s="613">
        <f>+Funding!CL9</f>
        <v>430</v>
      </c>
      <c r="CI9" s="613"/>
      <c r="CJ9" s="613">
        <f>+Funding!CN9</f>
        <v>86</v>
      </c>
      <c r="CK9" s="225"/>
    </row>
    <row r="10" spans="1:91" s="65" customFormat="1" ht="18.75" customHeight="1" x14ac:dyDescent="0.25">
      <c r="A10" s="2431" t="s">
        <v>33</v>
      </c>
      <c r="B10" s="2431"/>
      <c r="C10" s="2431"/>
      <c r="D10" s="2431"/>
      <c r="E10" s="2431"/>
      <c r="F10" s="2431"/>
      <c r="G10" s="376"/>
      <c r="H10" s="376"/>
      <c r="I10" s="2487" t="str">
        <f>+O10</f>
        <v>NSW</v>
      </c>
      <c r="J10" s="2488"/>
      <c r="K10" s="2489"/>
      <c r="L10" s="2422" t="str">
        <f>+O10</f>
        <v>NSW</v>
      </c>
      <c r="M10" s="2423"/>
      <c r="N10" s="2423"/>
      <c r="O10" s="2439" t="str">
        <f>+Funding!E12</f>
        <v>NSW</v>
      </c>
      <c r="P10" s="2423"/>
      <c r="Q10" s="2440"/>
      <c r="R10" s="2423" t="str">
        <f>+O10</f>
        <v>NSW</v>
      </c>
      <c r="S10" s="2423"/>
      <c r="T10" s="2425"/>
      <c r="U10" s="2422" t="str">
        <f>+R10</f>
        <v>NSW</v>
      </c>
      <c r="V10" s="2423"/>
      <c r="W10" s="2425"/>
      <c r="X10" s="2422" t="str">
        <f>+U10</f>
        <v>NSW</v>
      </c>
      <c r="Y10" s="2423"/>
      <c r="Z10" s="2425"/>
      <c r="AA10" s="21"/>
      <c r="AB10" s="1"/>
      <c r="AC10" s="146"/>
      <c r="AD10" s="147" t="s">
        <v>43</v>
      </c>
      <c r="AE10" s="134" t="str">
        <f>+Settings!W7</f>
        <v>Varies</v>
      </c>
      <c r="AF10" s="134">
        <f>+Settings!X7</f>
        <v>157</v>
      </c>
      <c r="AG10" s="134" t="str">
        <f t="shared" ref="AG10:AL10" si="3">IF(AND(BX13&gt;=100000,BX13&lt;200000),2830+4*INT((BX13-99901)/100),IF(AND(BX13&gt;=200000,BX13&lt;250000),6830+4.5*INT((BX13-199901)/100),IF(AND(BX13&gt;=250000,BX13&lt;300000),8995+4.75*INT((BX13-249901)/100),IF(AND(BX13&gt;=300000,BX13&lt;500000),11330+5*INT((BX13-299901)/100),IF(BX13&gt;=500000,21330+5.5*INT((BX13-499901)/100),"Check")))))</f>
        <v>Check</v>
      </c>
      <c r="AH10" s="804" t="str">
        <f t="shared" si="3"/>
        <v>Check</v>
      </c>
      <c r="AI10" s="809" t="str">
        <f t="shared" si="3"/>
        <v>Check</v>
      </c>
      <c r="AJ10" s="806" t="str">
        <f t="shared" si="3"/>
        <v>Check</v>
      </c>
      <c r="AK10" s="134">
        <f t="shared" si="3"/>
        <v>2830</v>
      </c>
      <c r="AL10" s="134">
        <f t="shared" si="3"/>
        <v>4830</v>
      </c>
      <c r="AM10" s="94"/>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CE10" s="613">
        <f>+Funding!CI10</f>
        <v>120000</v>
      </c>
      <c r="CF10" s="613">
        <f>+Funding!CJ10</f>
        <v>170</v>
      </c>
      <c r="CG10" s="613">
        <f>+Funding!CK10</f>
        <v>0</v>
      </c>
      <c r="CH10" s="613">
        <f>+Funding!CL10</f>
        <v>627</v>
      </c>
      <c r="CI10" s="613"/>
      <c r="CJ10" s="613">
        <f>+Funding!CN10</f>
        <v>197</v>
      </c>
      <c r="CK10" s="102"/>
    </row>
    <row r="11" spans="1:91" s="1" customFormat="1" ht="18.75" customHeight="1" x14ac:dyDescent="0.25">
      <c r="A11" s="492" t="s">
        <v>38</v>
      </c>
      <c r="B11" s="383"/>
      <c r="C11" s="383"/>
      <c r="D11" s="383"/>
      <c r="E11" s="383"/>
      <c r="F11" s="383"/>
      <c r="G11" s="375"/>
      <c r="H11" s="375"/>
      <c r="I11" s="1680" t="str">
        <f>LOOKUP(I10,$AD$7:AG14)</f>
        <v>NO DUTY</v>
      </c>
      <c r="J11" s="1681"/>
      <c r="K11" s="1682"/>
      <c r="L11" s="1680" t="str">
        <f>LOOKUP(L10,$AD$7:AH14)</f>
        <v>NO DUTY</v>
      </c>
      <c r="M11" s="1681"/>
      <c r="N11" s="1681"/>
      <c r="O11" s="2441" t="str">
        <f>LOOKUP(O10,$AD$7:AI14)</f>
        <v>NO DUTY</v>
      </c>
      <c r="P11" s="1681"/>
      <c r="Q11" s="2442"/>
      <c r="R11" s="1681" t="str">
        <f>LOOKUP(R10,$AD$7:AJ14)</f>
        <v>NO DUTY</v>
      </c>
      <c r="S11" s="1681"/>
      <c r="T11" s="1682"/>
      <c r="U11" s="1680">
        <f>LOOKUP(U10,AD7:AD14,AK7:AK14)</f>
        <v>1990</v>
      </c>
      <c r="V11" s="1681"/>
      <c r="W11" s="1682"/>
      <c r="X11" s="1680">
        <f>LOOKUP(X10,AD7:AD14,AL7:AL14)</f>
        <v>3740</v>
      </c>
      <c r="Y11" s="1681"/>
      <c r="Z11" s="1682"/>
      <c r="AA11" s="21"/>
      <c r="AC11" s="135"/>
      <c r="AD11" s="147" t="s">
        <v>44</v>
      </c>
      <c r="AE11" s="134">
        <f>+Settings!W8</f>
        <v>200</v>
      </c>
      <c r="AF11" s="134">
        <f>+Settings!X8</f>
        <v>131</v>
      </c>
      <c r="AG11" s="134" t="str">
        <f t="shared" ref="AG11:AL11" si="4">IF(AND(BX13&gt;=75000,BX13&lt;200000),1559+3.5*INT((BX13-79901)/100),IF(AND(BX13&gt;=200000,BX13&lt;375000),5934+4*INT((BX13-199901)/100),IF(AND(BX13&gt;=375000,BX13&lt;725000),12934+4.25*INT((BX13-374901)/100),IF(BX13&gt;=725000,27809+4.5*INT((BX13-724901)/100),"Check"))))</f>
        <v>Check</v>
      </c>
      <c r="AH11" s="134" t="str">
        <f t="shared" si="4"/>
        <v>Check</v>
      </c>
      <c r="AI11" s="809" t="str">
        <f t="shared" si="4"/>
        <v>Check</v>
      </c>
      <c r="AJ11" s="134" t="str">
        <f t="shared" si="4"/>
        <v>Check</v>
      </c>
      <c r="AK11" s="134">
        <f t="shared" si="4"/>
        <v>2259</v>
      </c>
      <c r="AL11" s="134">
        <f t="shared" si="4"/>
        <v>4009</v>
      </c>
      <c r="AM11" s="135"/>
      <c r="AN11" s="135"/>
      <c r="AO11" s="135"/>
      <c r="AP11" s="135"/>
      <c r="AQ11" s="135"/>
      <c r="AR11" s="135"/>
      <c r="AS11" s="135"/>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X11" s="817"/>
      <c r="BY11" s="818"/>
      <c r="BZ11" s="818" t="s">
        <v>253</v>
      </c>
      <c r="CA11" s="818"/>
      <c r="CB11" s="818"/>
      <c r="CC11" s="819"/>
      <c r="CE11" s="613">
        <f>+Funding!CI11</f>
        <v>200000</v>
      </c>
      <c r="CF11" s="613">
        <f>+Funding!CJ11</f>
        <v>190</v>
      </c>
      <c r="CG11" s="613">
        <f>+Funding!CK11</f>
        <v>0</v>
      </c>
      <c r="CH11" s="613">
        <f>+Funding!CL11</f>
        <v>873</v>
      </c>
      <c r="CI11" s="613"/>
      <c r="CJ11" s="613">
        <f>+Funding!CN11</f>
        <v>246</v>
      </c>
      <c r="CK11" s="102"/>
    </row>
    <row r="12" spans="1:91" s="1" customFormat="1" ht="18.75" customHeight="1" x14ac:dyDescent="0.25">
      <c r="A12" s="492" t="s">
        <v>40</v>
      </c>
      <c r="B12" s="383"/>
      <c r="C12" s="383"/>
      <c r="D12" s="383"/>
      <c r="E12" s="383"/>
      <c r="F12" s="383"/>
      <c r="G12" s="376"/>
      <c r="H12" s="376"/>
      <c r="I12" s="1680">
        <f>LOOKUP(I10,$AD$7:$AF$14)</f>
        <v>136</v>
      </c>
      <c r="J12" s="1681"/>
      <c r="K12" s="1682"/>
      <c r="L12" s="1680">
        <f>LOOKUP(L10,$AD$7:$AF$14)</f>
        <v>136</v>
      </c>
      <c r="M12" s="1681"/>
      <c r="N12" s="1681"/>
      <c r="O12" s="2441">
        <f>LOOKUP(O10,$AD$7:$AF$14)</f>
        <v>136</v>
      </c>
      <c r="P12" s="1681"/>
      <c r="Q12" s="2442"/>
      <c r="R12" s="1681">
        <f>LOOKUP(R10,$AD$7:$AF$14)</f>
        <v>136</v>
      </c>
      <c r="S12" s="1681"/>
      <c r="T12" s="1682"/>
      <c r="U12" s="1681">
        <f>LOOKUP(U10,$AD$7:$AF$14)</f>
        <v>136</v>
      </c>
      <c r="V12" s="1681"/>
      <c r="W12" s="1682"/>
      <c r="X12" s="1680">
        <f>LOOKUP(X10,$AD$7:$AF$14)</f>
        <v>136</v>
      </c>
      <c r="Y12" s="1681"/>
      <c r="Z12" s="1682"/>
      <c r="AA12" s="21"/>
      <c r="AC12" s="135"/>
      <c r="AD12" s="147" t="s">
        <v>45</v>
      </c>
      <c r="AE12" s="134">
        <f>IF(AI5&lt;500000,131.6+INT(+BX13/1000)*2.46,1362)</f>
        <v>-114.4</v>
      </c>
      <c r="AF12" s="134">
        <f>+Settings!X9</f>
        <v>112.6</v>
      </c>
      <c r="AG12" s="134" t="str">
        <f t="shared" ref="AG12:AL12" si="5">IF(AND(BX13&gt;=0,BX13&lt;25000),0+INT(BX13*0.014),IF(AND(BX13&gt;=25000,BX13&lt;130000),350+INT((BX13-24999)*0.024),IF(AND(BX13&gt;=130000,BX13&lt;960000),2870+INT((BX13-129999)*0.06),IF(BX13&gt;=960000,INT((BX13)*0.05),"Check"))))</f>
        <v>Check</v>
      </c>
      <c r="AH12" s="804" t="str">
        <f t="shared" si="5"/>
        <v>Check</v>
      </c>
      <c r="AI12" s="809">
        <f t="shared" si="5"/>
        <v>0</v>
      </c>
      <c r="AJ12" s="806">
        <f t="shared" si="5"/>
        <v>950</v>
      </c>
      <c r="AK12" s="134">
        <f t="shared" si="5"/>
        <v>2150</v>
      </c>
      <c r="AL12" s="134">
        <f t="shared" si="5"/>
        <v>4070</v>
      </c>
      <c r="AM12" s="135"/>
      <c r="AN12" s="135"/>
      <c r="AO12" s="135"/>
      <c r="AP12" s="135"/>
      <c r="AQ12" s="135"/>
      <c r="AR12" s="135"/>
      <c r="AS12" s="135"/>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Z12" s="816"/>
      <c r="CE12" s="613">
        <f>+Funding!CI12</f>
        <v>300000</v>
      </c>
      <c r="CF12" s="613">
        <f>+Funding!CJ12</f>
        <v>210</v>
      </c>
      <c r="CG12" s="613">
        <f>+Funding!CK12</f>
        <v>0</v>
      </c>
      <c r="CH12" s="613">
        <f>+Funding!CL12</f>
        <v>1119</v>
      </c>
      <c r="CI12" s="613"/>
      <c r="CJ12" s="613">
        <f>+Funding!CN12</f>
        <v>246</v>
      </c>
    </row>
    <row r="13" spans="1:91" s="1" customFormat="1" ht="18.75" customHeight="1" x14ac:dyDescent="0.25">
      <c r="A13" s="481" t="s">
        <v>213</v>
      </c>
      <c r="B13" s="481"/>
      <c r="C13" s="481"/>
      <c r="D13" s="481"/>
      <c r="E13" s="481"/>
      <c r="F13" s="481"/>
      <c r="G13" s="375"/>
      <c r="H13" s="375"/>
      <c r="I13" s="1680">
        <f>VLOOKUP(I10,AF18:AL25,2,FALSE)</f>
        <v>272</v>
      </c>
      <c r="J13" s="1681"/>
      <c r="K13" s="1682"/>
      <c r="L13" s="1680">
        <f>VLOOKUP(L10,AF18:AL25,3,FALSE)</f>
        <v>272</v>
      </c>
      <c r="M13" s="1681"/>
      <c r="N13" s="2442"/>
      <c r="O13" s="2441">
        <f>VLOOKUP(O10,AF18:AL25,4,FALSE)</f>
        <v>272</v>
      </c>
      <c r="P13" s="1681"/>
      <c r="Q13" s="2442"/>
      <c r="R13" s="2441">
        <f>VLOOKUP(R10,AF18:AL25,5,FALSE)</f>
        <v>272</v>
      </c>
      <c r="S13" s="1681"/>
      <c r="T13" s="1682"/>
      <c r="U13" s="1680">
        <f>VLOOKUP(U10,AF18:AL25,6,FALSE)</f>
        <v>272</v>
      </c>
      <c r="V13" s="1681"/>
      <c r="W13" s="1682"/>
      <c r="X13" s="1680">
        <f>VLOOKUP(X10,AF18:AL25,7,FALSE)</f>
        <v>272</v>
      </c>
      <c r="Y13" s="1681"/>
      <c r="Z13" s="1682"/>
      <c r="AA13" s="21"/>
      <c r="AC13" s="135"/>
      <c r="AD13" s="147" t="s">
        <v>47</v>
      </c>
      <c r="AE13" s="134" t="str">
        <f>+Settings!W10</f>
        <v>Varies</v>
      </c>
      <c r="AF13" s="134">
        <f>+Settings!X10</f>
        <v>165.8</v>
      </c>
      <c r="AG13" s="134" t="str">
        <f t="shared" ref="AG13:AL13" si="6">IF(AND(BX13&gt;=0,BX13&lt;80000),1.9*INT((BX13)/100),IF(AND(BX13&gt;=80000,BX13&lt;100000),1520+2.85*INT((BX13-79901)/100),IF(AND(BX13&gt;=100000,BX13&lt;250000),2090+3.8*INT((BX13-99901)/100),IF(AND(BX13&gt;=250000,BX13&lt;500000),7790+4.75*INT((BX13-249901)/100),IF(BX13&gt;=500000,19665+5.15*INT((BX13-499901)/100),"Check")))))</f>
        <v>Check</v>
      </c>
      <c r="AH13" s="134" t="str">
        <f t="shared" si="6"/>
        <v>Check</v>
      </c>
      <c r="AI13" s="809">
        <f t="shared" si="6"/>
        <v>0</v>
      </c>
      <c r="AJ13" s="134">
        <f t="shared" si="6"/>
        <v>950</v>
      </c>
      <c r="AK13" s="134">
        <f t="shared" si="6"/>
        <v>2090</v>
      </c>
      <c r="AL13" s="134">
        <f t="shared" si="6"/>
        <v>3990</v>
      </c>
      <c r="AM13" s="135"/>
      <c r="AN13" s="135"/>
      <c r="AO13" s="135"/>
      <c r="AP13" s="135"/>
      <c r="AQ13" s="135"/>
      <c r="AR13" s="135"/>
      <c r="AS13" s="135"/>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X13" s="813">
        <f t="shared" ref="BX13:CC13" si="7">+AG5</f>
        <v>-100000</v>
      </c>
      <c r="BY13" s="813">
        <f t="shared" si="7"/>
        <v>-50000</v>
      </c>
      <c r="BZ13" s="814">
        <f t="shared" si="7"/>
        <v>0</v>
      </c>
      <c r="CA13" s="813">
        <f t="shared" si="7"/>
        <v>50000</v>
      </c>
      <c r="CB13" s="813">
        <f t="shared" si="7"/>
        <v>100000</v>
      </c>
      <c r="CC13" s="813">
        <f t="shared" si="7"/>
        <v>150000</v>
      </c>
      <c r="CD13" s="813"/>
      <c r="CE13" s="613">
        <f>+Funding!CI13</f>
        <v>400000</v>
      </c>
      <c r="CF13" s="613">
        <f>+Funding!CJ13</f>
        <v>230</v>
      </c>
      <c r="CG13" s="613">
        <f>+Funding!CK13</f>
        <v>0</v>
      </c>
      <c r="CH13" s="613">
        <f>+Funding!CL13</f>
        <v>1362</v>
      </c>
      <c r="CI13" s="613"/>
      <c r="CJ13" s="613">
        <f>+Funding!CN13</f>
        <v>243</v>
      </c>
      <c r="CK13" s="65"/>
      <c r="CL13" s="813"/>
      <c r="CM13" s="813"/>
    </row>
    <row r="14" spans="1:91" s="1" customFormat="1" ht="18.75" customHeight="1" thickBot="1" x14ac:dyDescent="0.3">
      <c r="A14" s="2431" t="s">
        <v>42</v>
      </c>
      <c r="B14" s="2431"/>
      <c r="C14" s="2431"/>
      <c r="D14" s="2431"/>
      <c r="E14" s="2431"/>
      <c r="F14" s="2431"/>
      <c r="G14" s="376"/>
      <c r="H14" s="376"/>
      <c r="I14" s="1680">
        <f>+L14</f>
        <v>1650</v>
      </c>
      <c r="J14" s="1681"/>
      <c r="K14" s="1682"/>
      <c r="L14" s="1680">
        <f>+O14</f>
        <v>1650</v>
      </c>
      <c r="M14" s="1681"/>
      <c r="N14" s="1681"/>
      <c r="O14" s="2441">
        <f>+Funding!G20</f>
        <v>1650</v>
      </c>
      <c r="P14" s="1681"/>
      <c r="Q14" s="2442"/>
      <c r="R14" s="1681">
        <f>+O14</f>
        <v>1650</v>
      </c>
      <c r="S14" s="1681"/>
      <c r="T14" s="1682"/>
      <c r="U14" s="1680">
        <f>+R14</f>
        <v>1650</v>
      </c>
      <c r="V14" s="1681"/>
      <c r="W14" s="1682"/>
      <c r="X14" s="1680">
        <f>+U14</f>
        <v>1650</v>
      </c>
      <c r="Y14" s="1681"/>
      <c r="Z14" s="1682"/>
      <c r="AA14" s="21"/>
      <c r="AC14" s="135"/>
      <c r="AD14" s="147" t="s">
        <v>48</v>
      </c>
      <c r="AE14" s="134">
        <f>+Settings!W11</f>
        <v>142</v>
      </c>
      <c r="AF14" s="134">
        <f>+Settings!X11</f>
        <v>142</v>
      </c>
      <c r="AG14" s="134" t="str">
        <f t="shared" ref="AG14:AL14" si="8">IF(AND(BX13&gt;=0,BX13&lt;525000),(0.06571441*(INT(BX13/1000)*INT(BX13/1000))+(15*INT(BX13/1000))),IF(AND(BX13&gt;=525000,BX13&lt;3000000),4.95*INT((BX13)/100),IF(BX13&gt;=3000000,5.45*INT((BX13)/100),"Check")))</f>
        <v>Check</v>
      </c>
      <c r="AH14" s="134" t="str">
        <f t="shared" si="8"/>
        <v>Check</v>
      </c>
      <c r="AI14" s="809">
        <f t="shared" si="8"/>
        <v>0</v>
      </c>
      <c r="AJ14" s="134">
        <f t="shared" si="8"/>
        <v>914.286025</v>
      </c>
      <c r="AK14" s="134">
        <f t="shared" si="8"/>
        <v>2157.1441</v>
      </c>
      <c r="AL14" s="134">
        <f t="shared" si="8"/>
        <v>3728.5742250000003</v>
      </c>
      <c r="AM14" s="135"/>
      <c r="AN14" s="135"/>
      <c r="AO14" s="135"/>
      <c r="AP14" s="135"/>
      <c r="AQ14" s="135"/>
      <c r="AR14" s="135"/>
      <c r="AS14" s="135"/>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Z14" s="815"/>
      <c r="CE14" s="613">
        <f>+Funding!CI14</f>
        <v>500000</v>
      </c>
      <c r="CF14" s="613">
        <f>+Funding!CJ14</f>
        <v>250</v>
      </c>
      <c r="CG14" s="613">
        <f>+Funding!CK14</f>
        <v>0</v>
      </c>
      <c r="CH14" s="613">
        <f>+Funding!CL14</f>
        <v>0</v>
      </c>
      <c r="CI14" s="613"/>
      <c r="CJ14" s="613">
        <f>+Funding!CN14</f>
        <v>0</v>
      </c>
    </row>
    <row r="15" spans="1:91" s="1" customFormat="1" ht="18.75" customHeight="1" thickTop="1" x14ac:dyDescent="0.25">
      <c r="A15" s="2431" t="s">
        <v>207</v>
      </c>
      <c r="B15" s="2431"/>
      <c r="C15" s="2431"/>
      <c r="D15" s="2431"/>
      <c r="E15" s="2431"/>
      <c r="F15" s="2431"/>
      <c r="G15" s="375"/>
      <c r="H15" s="375"/>
      <c r="I15" s="1680">
        <f>+L15</f>
        <v>400</v>
      </c>
      <c r="J15" s="1681"/>
      <c r="K15" s="1682"/>
      <c r="L15" s="1680">
        <f>+O15</f>
        <v>400</v>
      </c>
      <c r="M15" s="1681"/>
      <c r="N15" s="1681"/>
      <c r="O15" s="2441">
        <f>SUM(Funding!G21:I24)</f>
        <v>400</v>
      </c>
      <c r="P15" s="1681"/>
      <c r="Q15" s="2442"/>
      <c r="R15" s="1681">
        <f>+O15</f>
        <v>400</v>
      </c>
      <c r="S15" s="1681"/>
      <c r="T15" s="1682"/>
      <c r="U15" s="1680">
        <f>+R15</f>
        <v>400</v>
      </c>
      <c r="V15" s="1681"/>
      <c r="W15" s="1682"/>
      <c r="X15" s="1680">
        <f>+U15</f>
        <v>400</v>
      </c>
      <c r="Y15" s="1681"/>
      <c r="Z15" s="1682"/>
      <c r="AA15" s="21"/>
      <c r="AC15" s="135"/>
      <c r="AD15" s="135"/>
      <c r="AE15" s="135"/>
      <c r="AF15" s="135"/>
      <c r="AG15" s="135"/>
      <c r="AH15" s="135"/>
      <c r="AI15" s="810"/>
      <c r="AJ15" s="135"/>
      <c r="AK15" s="135"/>
      <c r="AL15" s="135"/>
      <c r="AM15" s="135"/>
      <c r="AN15" s="135"/>
      <c r="AO15" s="135"/>
      <c r="AP15" s="135"/>
      <c r="AQ15" s="135"/>
      <c r="AR15" s="135"/>
      <c r="AS15" s="135"/>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CE15" s="613">
        <f>+Funding!CI15</f>
        <v>600000</v>
      </c>
      <c r="CF15" s="613">
        <f>+Funding!CJ15</f>
        <v>270</v>
      </c>
      <c r="CG15" s="613">
        <f>+Funding!CK15</f>
        <v>0</v>
      </c>
      <c r="CH15" s="613">
        <f>+Funding!CL15</f>
        <v>0</v>
      </c>
      <c r="CI15" s="613"/>
      <c r="CJ15" s="613">
        <f>+Funding!CN15</f>
        <v>0</v>
      </c>
      <c r="CK15" s="65"/>
    </row>
    <row r="16" spans="1:91" s="1" customFormat="1" ht="18.75" customHeight="1" x14ac:dyDescent="0.25">
      <c r="A16" s="2490" t="s">
        <v>212</v>
      </c>
      <c r="B16" s="2490"/>
      <c r="C16" s="2490"/>
      <c r="D16" s="2490"/>
      <c r="E16" s="2490"/>
      <c r="F16" s="2490"/>
      <c r="G16" s="375"/>
      <c r="H16" s="375"/>
      <c r="I16" s="1680"/>
      <c r="J16" s="1681"/>
      <c r="K16" s="1682"/>
      <c r="L16" s="1680"/>
      <c r="M16" s="1681"/>
      <c r="N16" s="1681"/>
      <c r="O16" s="2441">
        <f>+Funding!G25</f>
        <v>0</v>
      </c>
      <c r="P16" s="1681"/>
      <c r="Q16" s="2442"/>
      <c r="R16" s="1681"/>
      <c r="S16" s="1681"/>
      <c r="T16" s="1682"/>
      <c r="U16" s="1680"/>
      <c r="V16" s="1681"/>
      <c r="W16" s="1682"/>
      <c r="X16" s="1680"/>
      <c r="Y16" s="1681"/>
      <c r="Z16" s="1682"/>
      <c r="AA16" s="51"/>
      <c r="AC16" s="135"/>
      <c r="AD16" s="872"/>
      <c r="AE16" s="132"/>
      <c r="AF16" s="132"/>
      <c r="AG16" s="145">
        <f t="shared" ref="AG16:AL16" si="9">+AG5</f>
        <v>-100000</v>
      </c>
      <c r="AH16" s="145">
        <f t="shared" si="9"/>
        <v>-50000</v>
      </c>
      <c r="AI16" s="811">
        <f t="shared" si="9"/>
        <v>0</v>
      </c>
      <c r="AJ16" s="145">
        <f t="shared" si="9"/>
        <v>50000</v>
      </c>
      <c r="AK16" s="145">
        <f t="shared" si="9"/>
        <v>100000</v>
      </c>
      <c r="AL16" s="145">
        <f t="shared" si="9"/>
        <v>150000</v>
      </c>
      <c r="AM16" s="135"/>
      <c r="AN16" s="135"/>
      <c r="AO16" s="135"/>
      <c r="AP16" s="135"/>
      <c r="AQ16" s="135"/>
      <c r="AR16" s="135"/>
      <c r="AS16" s="135"/>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CE16" s="613">
        <f>+Funding!CI16</f>
        <v>700000</v>
      </c>
      <c r="CF16" s="613">
        <f>+Funding!CJ16</f>
        <v>290</v>
      </c>
      <c r="CG16" s="613">
        <f>+Funding!CK16</f>
        <v>0</v>
      </c>
      <c r="CH16" s="613">
        <f>+Funding!CL16</f>
        <v>0</v>
      </c>
      <c r="CI16" s="613"/>
      <c r="CJ16" s="613">
        <f>+Funding!CN16</f>
        <v>0</v>
      </c>
    </row>
    <row r="17" spans="1:88" s="1" customFormat="1" ht="18.75" customHeight="1" x14ac:dyDescent="0.25">
      <c r="A17" s="2497" t="s">
        <v>214</v>
      </c>
      <c r="B17" s="2497"/>
      <c r="C17" s="2497"/>
      <c r="D17" s="2497"/>
      <c r="E17" s="2497"/>
      <c r="F17" s="2497"/>
      <c r="G17" s="375"/>
      <c r="H17" s="375"/>
      <c r="I17" s="1787">
        <f>SUM(I9:K16)</f>
        <v>-97542</v>
      </c>
      <c r="J17" s="1787"/>
      <c r="K17" s="1787"/>
      <c r="L17" s="1787">
        <f>SUM(L9:N16)</f>
        <v>-47542</v>
      </c>
      <c r="M17" s="1787"/>
      <c r="N17" s="2491"/>
      <c r="O17" s="2492">
        <f>SUM(O9:Q16)</f>
        <v>2458</v>
      </c>
      <c r="P17" s="1787"/>
      <c r="Q17" s="2493"/>
      <c r="R17" s="2494">
        <f>SUM(R9:T16)</f>
        <v>52458</v>
      </c>
      <c r="S17" s="1787"/>
      <c r="T17" s="1787"/>
      <c r="U17" s="1787">
        <f>SUM(U9:W16)</f>
        <v>104448</v>
      </c>
      <c r="V17" s="1787"/>
      <c r="W17" s="1787"/>
      <c r="X17" s="1787">
        <f>SUM(X9:Z16)</f>
        <v>156198</v>
      </c>
      <c r="Y17" s="1787"/>
      <c r="Z17" s="1787"/>
      <c r="AA17" s="51"/>
      <c r="AC17" s="131"/>
      <c r="AD17" s="872"/>
      <c r="AE17" s="132"/>
      <c r="AF17" s="711"/>
      <c r="AG17" s="711" t="s">
        <v>35</v>
      </c>
      <c r="AH17" s="803" t="s">
        <v>35</v>
      </c>
      <c r="AI17" s="808" t="s">
        <v>35</v>
      </c>
      <c r="AJ17" s="805" t="s">
        <v>35</v>
      </c>
      <c r="AK17" s="711" t="s">
        <v>35</v>
      </c>
      <c r="AL17" s="711" t="s">
        <v>35</v>
      </c>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CE17" s="613">
        <f>+Funding!CI17</f>
        <v>800000</v>
      </c>
      <c r="CF17" s="613">
        <f>+Funding!CJ17</f>
        <v>310</v>
      </c>
      <c r="CG17" s="613">
        <f>+Funding!CK17</f>
        <v>0</v>
      </c>
      <c r="CH17" s="613">
        <f>+Funding!CL17</f>
        <v>0</v>
      </c>
      <c r="CI17" s="613"/>
      <c r="CJ17" s="613">
        <f>+Funding!CN17</f>
        <v>0</v>
      </c>
    </row>
    <row r="18" spans="1:88" s="1" customFormat="1" ht="18.75" customHeight="1" thickBot="1" x14ac:dyDescent="0.3">
      <c r="A18" s="482"/>
      <c r="B18" s="482"/>
      <c r="C18" s="482"/>
      <c r="D18" s="482"/>
      <c r="E18" s="482"/>
      <c r="F18" s="375"/>
      <c r="G18" s="375"/>
      <c r="H18" s="375"/>
      <c r="O18" s="486"/>
      <c r="P18" s="73"/>
      <c r="Q18" s="487"/>
      <c r="AA18" s="51"/>
      <c r="AC18" s="131"/>
      <c r="AD18" s="872"/>
      <c r="AE18" s="132"/>
      <c r="AF18" s="147" t="s">
        <v>39</v>
      </c>
      <c r="AG18" s="134">
        <f>+Settings!$W$4</f>
        <v>262</v>
      </c>
      <c r="AH18" s="804">
        <f>+Settings!$W$4</f>
        <v>262</v>
      </c>
      <c r="AI18" s="809">
        <f>+Settings!$W$4</f>
        <v>262</v>
      </c>
      <c r="AJ18" s="806">
        <f>+Settings!$W$4</f>
        <v>262</v>
      </c>
      <c r="AK18" s="134">
        <f>+Settings!$W$4</f>
        <v>262</v>
      </c>
      <c r="AL18" s="134">
        <f>+Settings!$W$4</f>
        <v>262</v>
      </c>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CE18" s="613">
        <f>+Funding!CI18</f>
        <v>900000</v>
      </c>
      <c r="CF18" s="613">
        <f>+Funding!CJ18</f>
        <v>330</v>
      </c>
      <c r="CG18" s="613">
        <f>+Funding!CK18</f>
        <v>0</v>
      </c>
      <c r="CH18" s="613">
        <f>+Funding!CL18</f>
        <v>0</v>
      </c>
      <c r="CI18" s="613"/>
      <c r="CJ18" s="613">
        <f>+Funding!CN18</f>
        <v>0</v>
      </c>
    </row>
    <row r="19" spans="1:88" s="1" customFormat="1" ht="18.75" customHeight="1" thickBot="1" x14ac:dyDescent="0.3">
      <c r="A19" s="2476" t="s">
        <v>54</v>
      </c>
      <c r="B19" s="2476"/>
      <c r="C19" s="2476"/>
      <c r="D19" s="2476"/>
      <c r="E19" s="2476"/>
      <c r="F19" s="2476"/>
      <c r="G19" s="2476"/>
      <c r="H19" s="495"/>
      <c r="I19" s="2453" t="e">
        <f>+L19</f>
        <v>#VALUE!</v>
      </c>
      <c r="J19" s="2453"/>
      <c r="K19" s="2453"/>
      <c r="L19" s="2453" t="e">
        <f>+O19</f>
        <v>#VALUE!</v>
      </c>
      <c r="M19" s="2453"/>
      <c r="N19" s="2454"/>
      <c r="O19" s="2455" t="e">
        <f>+O20/O9</f>
        <v>#VALUE!</v>
      </c>
      <c r="P19" s="2456"/>
      <c r="Q19" s="2457"/>
      <c r="R19" s="2481" t="e">
        <f>+O19</f>
        <v>#VALUE!</v>
      </c>
      <c r="S19" s="2453"/>
      <c r="T19" s="2453"/>
      <c r="U19" s="2453" t="e">
        <f>+R19</f>
        <v>#VALUE!</v>
      </c>
      <c r="V19" s="2453"/>
      <c r="W19" s="2453"/>
      <c r="X19" s="2453" t="e">
        <f>+U19</f>
        <v>#VALUE!</v>
      </c>
      <c r="Y19" s="2453"/>
      <c r="Z19" s="2453"/>
      <c r="AA19" s="491"/>
      <c r="AC19" s="131"/>
      <c r="AD19" s="872"/>
      <c r="AE19" s="132"/>
      <c r="AF19" s="147" t="s">
        <v>34</v>
      </c>
      <c r="AG19" s="134">
        <f>+Settings!$W$5</f>
        <v>272</v>
      </c>
      <c r="AH19" s="804">
        <f>+Settings!$W$5</f>
        <v>272</v>
      </c>
      <c r="AI19" s="809">
        <f>+Settings!$W$5</f>
        <v>272</v>
      </c>
      <c r="AJ19" s="806">
        <f>+Settings!$W$5</f>
        <v>272</v>
      </c>
      <c r="AK19" s="134">
        <f>+Settings!$W$5</f>
        <v>272</v>
      </c>
      <c r="AL19" s="134">
        <f>+Settings!$W$5</f>
        <v>272</v>
      </c>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CE19" s="613">
        <f>+Funding!CI19</f>
        <v>1000000</v>
      </c>
      <c r="CF19" s="613">
        <f>+Funding!CJ19</f>
        <v>350</v>
      </c>
      <c r="CG19" s="613">
        <f>+Funding!CK19</f>
        <v>0</v>
      </c>
      <c r="CH19" s="613">
        <f>+Funding!CL19</f>
        <v>0</v>
      </c>
      <c r="CI19" s="613"/>
      <c r="CJ19" s="613">
        <f>+Funding!CN19</f>
        <v>0</v>
      </c>
    </row>
    <row r="20" spans="1:88" s="1" customFormat="1" ht="18.75" customHeight="1" x14ac:dyDescent="0.25">
      <c r="A20" s="2431" t="s">
        <v>49</v>
      </c>
      <c r="B20" s="2431"/>
      <c r="C20" s="2431"/>
      <c r="D20" s="2431"/>
      <c r="E20" s="2431"/>
      <c r="F20" s="2431"/>
      <c r="G20" s="2431"/>
      <c r="H20" s="494"/>
      <c r="I20" s="2459" t="e">
        <f>+I9*I19</f>
        <v>#VALUE!</v>
      </c>
      <c r="J20" s="2459"/>
      <c r="K20" s="2459"/>
      <c r="L20" s="2459" t="e">
        <f>+L9*L19</f>
        <v>#VALUE!</v>
      </c>
      <c r="M20" s="2459"/>
      <c r="N20" s="2460"/>
      <c r="O20" s="2462" t="str">
        <f>+Funding!P25</f>
        <v/>
      </c>
      <c r="P20" s="2459"/>
      <c r="Q20" s="2463"/>
      <c r="R20" s="2464" t="e">
        <f>+R9*R19</f>
        <v>#VALUE!</v>
      </c>
      <c r="S20" s="2459"/>
      <c r="T20" s="2459"/>
      <c r="U20" s="2459" t="e">
        <f>+U9*U19</f>
        <v>#VALUE!</v>
      </c>
      <c r="V20" s="2459"/>
      <c r="W20" s="2459"/>
      <c r="X20" s="2459" t="e">
        <f>+X9*X19</f>
        <v>#VALUE!</v>
      </c>
      <c r="Y20" s="2459"/>
      <c r="Z20" s="2459"/>
      <c r="AA20" s="51"/>
      <c r="AC20" s="131"/>
      <c r="AD20" s="872"/>
      <c r="AE20" s="132"/>
      <c r="AF20" s="147" t="s">
        <v>41</v>
      </c>
      <c r="AG20" s="134" t="s">
        <v>618</v>
      </c>
      <c r="AH20" s="804" t="s">
        <v>618</v>
      </c>
      <c r="AI20" s="809" t="s">
        <v>618</v>
      </c>
      <c r="AJ20" s="806" t="s">
        <v>618</v>
      </c>
      <c r="AK20" s="134" t="s">
        <v>618</v>
      </c>
      <c r="AL20" s="134" t="s">
        <v>618</v>
      </c>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CE20" s="613">
        <f>+Funding!CI20</f>
        <v>1100000</v>
      </c>
      <c r="CF20" s="613">
        <f>+Funding!CJ20</f>
        <v>370</v>
      </c>
      <c r="CG20" s="613">
        <f>+Funding!CK20</f>
        <v>0</v>
      </c>
      <c r="CH20" s="613">
        <f>+Funding!CL20</f>
        <v>0</v>
      </c>
      <c r="CI20" s="613"/>
      <c r="CJ20" s="613">
        <f>+Funding!CN20</f>
        <v>0</v>
      </c>
    </row>
    <row r="21" spans="1:88" s="1" customFormat="1" ht="18.75" customHeight="1" x14ac:dyDescent="0.25">
      <c r="A21" s="2431" t="s">
        <v>50</v>
      </c>
      <c r="B21" s="2431"/>
      <c r="C21" s="2431"/>
      <c r="D21" s="2431"/>
      <c r="E21" s="2431"/>
      <c r="F21" s="2431"/>
      <c r="G21" s="2431"/>
      <c r="H21" s="483"/>
      <c r="I21" s="2458" t="e">
        <f>+I17-I20</f>
        <v>#VALUE!</v>
      </c>
      <c r="J21" s="2458"/>
      <c r="K21" s="2458"/>
      <c r="L21" s="2458" t="e">
        <f>+L17-L20</f>
        <v>#VALUE!</v>
      </c>
      <c r="M21" s="2458"/>
      <c r="N21" s="2461"/>
      <c r="O21" s="2465" t="e">
        <f>+O17-O20</f>
        <v>#VALUE!</v>
      </c>
      <c r="P21" s="2458"/>
      <c r="Q21" s="2466"/>
      <c r="R21" s="2467" t="e">
        <f>+R17-R20</f>
        <v>#VALUE!</v>
      </c>
      <c r="S21" s="2458"/>
      <c r="T21" s="2458"/>
      <c r="U21" s="2458" t="e">
        <f>+U17-U20</f>
        <v>#VALUE!</v>
      </c>
      <c r="V21" s="2458"/>
      <c r="W21" s="2458"/>
      <c r="X21" s="2458" t="e">
        <f>+X17-X20</f>
        <v>#VALUE!</v>
      </c>
      <c r="Y21" s="2458"/>
      <c r="Z21" s="2458"/>
      <c r="AA21" s="51"/>
      <c r="AC21" s="131"/>
      <c r="AD21" s="872"/>
      <c r="AE21" s="132"/>
      <c r="AF21" s="147" t="s">
        <v>43</v>
      </c>
      <c r="AG21" s="134" t="s">
        <v>618</v>
      </c>
      <c r="AH21" s="804" t="s">
        <v>618</v>
      </c>
      <c r="AI21" s="809" t="s">
        <v>618</v>
      </c>
      <c r="AJ21" s="806" t="s">
        <v>618</v>
      </c>
      <c r="AK21" s="134" t="s">
        <v>618</v>
      </c>
      <c r="AL21" s="134" t="s">
        <v>618</v>
      </c>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CE21" s="613">
        <f>+Funding!CI21</f>
        <v>1200000</v>
      </c>
      <c r="CF21" s="613">
        <f>+Funding!CJ21</f>
        <v>390</v>
      </c>
      <c r="CG21" s="613">
        <f>+Funding!CK21</f>
        <v>0</v>
      </c>
      <c r="CH21" s="613">
        <f>+Funding!CL21</f>
        <v>0</v>
      </c>
      <c r="CI21" s="613"/>
      <c r="CJ21" s="613">
        <f>+Funding!CN21</f>
        <v>0</v>
      </c>
    </row>
    <row r="22" spans="1:88" s="1" customFormat="1" ht="18.75" customHeight="1" x14ac:dyDescent="0.25">
      <c r="A22" s="482"/>
      <c r="B22" s="375"/>
      <c r="C22" s="375"/>
      <c r="D22" s="375"/>
      <c r="E22" s="375"/>
      <c r="F22" s="375"/>
      <c r="G22" s="375"/>
      <c r="H22" s="375"/>
      <c r="I22" s="7"/>
      <c r="J22" s="71"/>
      <c r="K22" s="71"/>
      <c r="L22" s="7"/>
      <c r="M22" s="72"/>
      <c r="N22" s="72"/>
      <c r="O22" s="496"/>
      <c r="P22" s="374"/>
      <c r="Q22" s="497"/>
      <c r="R22" s="54"/>
      <c r="S22" s="55"/>
      <c r="T22" s="56"/>
      <c r="U22" s="71"/>
      <c r="V22" s="71"/>
      <c r="W22" s="71"/>
      <c r="X22" s="71"/>
      <c r="Y22" s="71"/>
      <c r="Z22" s="71"/>
      <c r="AA22" s="51"/>
      <c r="AC22" s="131"/>
      <c r="AD22" s="872"/>
      <c r="AE22" s="132"/>
      <c r="AF22" s="147" t="s">
        <v>44</v>
      </c>
      <c r="AG22" s="134">
        <f>+Settings!$W$8</f>
        <v>200</v>
      </c>
      <c r="AH22" s="804">
        <f>+Settings!$W$8</f>
        <v>200</v>
      </c>
      <c r="AI22" s="809">
        <f>+Settings!$W$8</f>
        <v>200</v>
      </c>
      <c r="AJ22" s="806">
        <f>+Settings!$W$8</f>
        <v>200</v>
      </c>
      <c r="AK22" s="134">
        <f>+Settings!$W$8</f>
        <v>200</v>
      </c>
      <c r="AL22" s="134">
        <f>+Settings!$W$8</f>
        <v>200</v>
      </c>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CE22" s="613">
        <f>+Funding!CI22</f>
        <v>1300000</v>
      </c>
      <c r="CF22" s="613">
        <f>+Funding!CJ22</f>
        <v>410</v>
      </c>
      <c r="CG22" s="613">
        <f>+Funding!CK22</f>
        <v>0</v>
      </c>
      <c r="CH22" s="613">
        <f>+Funding!CL22</f>
        <v>0</v>
      </c>
      <c r="CI22" s="613"/>
      <c r="CJ22" s="613">
        <f>+Funding!CN22</f>
        <v>0</v>
      </c>
    </row>
    <row r="23" spans="1:88" s="1" customFormat="1" ht="18.75" customHeight="1" x14ac:dyDescent="0.25">
      <c r="A23" s="2431" t="s">
        <v>51</v>
      </c>
      <c r="B23" s="2431"/>
      <c r="C23" s="2431"/>
      <c r="D23" s="2431"/>
      <c r="E23" s="2431"/>
      <c r="F23" s="2431"/>
      <c r="G23" s="2431"/>
      <c r="H23" s="2452"/>
      <c r="I23" s="2468">
        <f>+L23</f>
        <v>0.04</v>
      </c>
      <c r="J23" s="2468"/>
      <c r="K23" s="2469"/>
      <c r="L23" s="2468">
        <f>+O23</f>
        <v>0.04</v>
      </c>
      <c r="M23" s="2468"/>
      <c r="N23" s="2469"/>
      <c r="O23" s="2474">
        <f>+Funding!E30</f>
        <v>0.04</v>
      </c>
      <c r="P23" s="2468"/>
      <c r="Q23" s="2475"/>
      <c r="R23" s="2480">
        <f>+O23</f>
        <v>0.04</v>
      </c>
      <c r="S23" s="2468"/>
      <c r="T23" s="2468"/>
      <c r="U23" s="2468">
        <f>+R23</f>
        <v>0.04</v>
      </c>
      <c r="V23" s="2468"/>
      <c r="W23" s="2468"/>
      <c r="X23" s="2468">
        <f>+U23</f>
        <v>0.04</v>
      </c>
      <c r="Y23" s="2468"/>
      <c r="Z23" s="2468"/>
      <c r="AA23" s="51"/>
      <c r="AC23" s="131"/>
      <c r="AD23" s="872"/>
      <c r="AE23" s="132"/>
      <c r="AF23" s="147" t="s">
        <v>45</v>
      </c>
      <c r="AG23" s="134">
        <f t="shared" ref="AG23:AL23" si="10">IF(AG16&lt;500000,131.6+INT(+AG16/1000)*2.46,1362)</f>
        <v>-114.4</v>
      </c>
      <c r="AH23" s="804">
        <f t="shared" si="10"/>
        <v>8.5999999999999943</v>
      </c>
      <c r="AI23" s="809">
        <f t="shared" si="10"/>
        <v>131.6</v>
      </c>
      <c r="AJ23" s="806">
        <f t="shared" si="10"/>
        <v>254.6</v>
      </c>
      <c r="AK23" s="134">
        <f t="shared" si="10"/>
        <v>377.6</v>
      </c>
      <c r="AL23" s="134">
        <f t="shared" si="10"/>
        <v>500.6</v>
      </c>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CE23" s="613">
        <f>+Funding!CI23</f>
        <v>1400000</v>
      </c>
      <c r="CF23" s="613">
        <f>+Funding!CJ23</f>
        <v>430</v>
      </c>
      <c r="CG23" s="613">
        <f>+Funding!CK23</f>
        <v>0</v>
      </c>
      <c r="CH23" s="613">
        <f>+Funding!CL23</f>
        <v>0</v>
      </c>
      <c r="CI23" s="613"/>
      <c r="CJ23" s="613">
        <f>+Funding!CN23</f>
        <v>0</v>
      </c>
    </row>
    <row r="24" spans="1:88" s="1" customFormat="1" ht="18.75" customHeight="1" x14ac:dyDescent="0.25">
      <c r="A24" s="2431" t="s">
        <v>233</v>
      </c>
      <c r="B24" s="2431"/>
      <c r="C24" s="2431"/>
      <c r="D24" s="2431"/>
      <c r="E24" s="2431"/>
      <c r="F24" s="2431"/>
      <c r="G24" s="2431"/>
      <c r="H24" s="2452"/>
      <c r="I24" s="2458" t="e">
        <f>+I20*I23/12</f>
        <v>#VALUE!</v>
      </c>
      <c r="J24" s="2458"/>
      <c r="K24" s="2458"/>
      <c r="L24" s="2458" t="e">
        <f>+L20*L23/12</f>
        <v>#VALUE!</v>
      </c>
      <c r="M24" s="2458"/>
      <c r="N24" s="2461"/>
      <c r="O24" s="2465" t="e">
        <f>+O20*O23/12</f>
        <v>#VALUE!</v>
      </c>
      <c r="P24" s="2458"/>
      <c r="Q24" s="2466"/>
      <c r="R24" s="2467" t="e">
        <f>+R20*R23/12</f>
        <v>#VALUE!</v>
      </c>
      <c r="S24" s="2458"/>
      <c r="T24" s="2458"/>
      <c r="U24" s="2458" t="e">
        <f>+U20*U23/12</f>
        <v>#VALUE!</v>
      </c>
      <c r="V24" s="2458"/>
      <c r="W24" s="2458"/>
      <c r="X24" s="2458" t="e">
        <f>+X20*X23/12</f>
        <v>#VALUE!</v>
      </c>
      <c r="Y24" s="2458"/>
      <c r="Z24" s="2458"/>
      <c r="AA24" s="51"/>
      <c r="AC24" s="131"/>
      <c r="AD24" s="872"/>
      <c r="AE24" s="132"/>
      <c r="AF24" s="147" t="s">
        <v>47</v>
      </c>
      <c r="AG24" s="134" t="s">
        <v>618</v>
      </c>
      <c r="AH24" s="804" t="s">
        <v>618</v>
      </c>
      <c r="AI24" s="809" t="s">
        <v>618</v>
      </c>
      <c r="AJ24" s="806" t="s">
        <v>618</v>
      </c>
      <c r="AK24" s="134" t="s">
        <v>618</v>
      </c>
      <c r="AL24" s="134" t="s">
        <v>618</v>
      </c>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CE24" s="613">
        <f>+Funding!CI24</f>
        <v>0</v>
      </c>
      <c r="CF24" s="613">
        <f>+Funding!CJ24</f>
        <v>0</v>
      </c>
      <c r="CG24" s="613">
        <f>+Funding!CK24</f>
        <v>0</v>
      </c>
      <c r="CH24" s="613">
        <f>+Funding!CL24</f>
        <v>0</v>
      </c>
      <c r="CI24" s="613"/>
      <c r="CJ24" s="613">
        <f>+Funding!CN24</f>
        <v>0</v>
      </c>
    </row>
    <row r="25" spans="1:88" s="1" customFormat="1" ht="18.75" customHeight="1" x14ac:dyDescent="0.25">
      <c r="A25" s="2431" t="str">
        <f>CONCATENATE("Instalment pm – P&amp;I (",+O26,"y)")</f>
        <v>Instalment pm – P&amp;I (30y)</v>
      </c>
      <c r="B25" s="2431"/>
      <c r="C25" s="2431"/>
      <c r="D25" s="2431"/>
      <c r="E25" s="2431"/>
      <c r="F25" s="2431"/>
      <c r="G25" s="2431"/>
      <c r="H25" s="2452"/>
      <c r="I25" s="2458" t="e">
        <f>PMT(I23/12,30*12,-I20)</f>
        <v>#VALUE!</v>
      </c>
      <c r="J25" s="2458"/>
      <c r="K25" s="2458"/>
      <c r="L25" s="2458" t="e">
        <f>PMT(L23/12,30*12,-L20)</f>
        <v>#VALUE!</v>
      </c>
      <c r="M25" s="2458"/>
      <c r="N25" s="2461"/>
      <c r="O25" s="2465" t="e">
        <f>PMT(O23/12,30*12,-O20)</f>
        <v>#VALUE!</v>
      </c>
      <c r="P25" s="2458"/>
      <c r="Q25" s="2466"/>
      <c r="R25" s="2467" t="e">
        <f>PMT(R23/12,30*12,-R20)</f>
        <v>#VALUE!</v>
      </c>
      <c r="S25" s="2458"/>
      <c r="T25" s="2458"/>
      <c r="U25" s="2458" t="e">
        <f>PMT(U23/12,30*12,-U20)</f>
        <v>#VALUE!</v>
      </c>
      <c r="V25" s="2458"/>
      <c r="W25" s="2458"/>
      <c r="X25" s="2458" t="e">
        <f>PMT(X23/12,30*12,-X20)</f>
        <v>#VALUE!</v>
      </c>
      <c r="Y25" s="2458"/>
      <c r="Z25" s="2458"/>
      <c r="AA25" s="51"/>
      <c r="AC25" s="131"/>
      <c r="AD25" s="872"/>
      <c r="AE25" s="132"/>
      <c r="AF25" s="147" t="s">
        <v>48</v>
      </c>
      <c r="AG25" s="134">
        <f>+Settings!$W$11</f>
        <v>142</v>
      </c>
      <c r="AH25" s="804">
        <f>+Settings!$W$11</f>
        <v>142</v>
      </c>
      <c r="AI25" s="809">
        <f>+Settings!$W$11</f>
        <v>142</v>
      </c>
      <c r="AJ25" s="806">
        <f>+Settings!$W$11</f>
        <v>142</v>
      </c>
      <c r="AK25" s="134">
        <f>+Settings!$W$11</f>
        <v>142</v>
      </c>
      <c r="AL25" s="134">
        <f>+Settings!$W$11</f>
        <v>142</v>
      </c>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CE25" s="613">
        <f>+Funding!CI25</f>
        <v>1500000</v>
      </c>
      <c r="CF25" s="613">
        <f>+Funding!CJ25</f>
        <v>450</v>
      </c>
      <c r="CG25" s="613">
        <f>+Funding!CK25</f>
        <v>0</v>
      </c>
      <c r="CH25" s="613">
        <f>+Funding!CL25</f>
        <v>0</v>
      </c>
      <c r="CI25" s="613"/>
      <c r="CJ25" s="613">
        <f>+Funding!CN25</f>
        <v>0</v>
      </c>
    </row>
    <row r="26" spans="1:88" s="1" customFormat="1" ht="18.75" customHeight="1" thickBot="1" x14ac:dyDescent="0.3">
      <c r="A26" s="53"/>
      <c r="I26" s="2473"/>
      <c r="J26" s="2473"/>
      <c r="K26" s="2473"/>
      <c r="L26" s="2444" t="s">
        <v>275</v>
      </c>
      <c r="M26" s="2444"/>
      <c r="N26" s="2444"/>
      <c r="O26" s="2445">
        <f>+Funding!K31</f>
        <v>30</v>
      </c>
      <c r="P26" s="2446"/>
      <c r="Q26" s="2447"/>
      <c r="R26" s="2448" t="s">
        <v>274</v>
      </c>
      <c r="S26" s="2448"/>
      <c r="T26" s="2448"/>
      <c r="U26" s="2473"/>
      <c r="V26" s="2473"/>
      <c r="W26" s="2473"/>
      <c r="X26" s="2473"/>
      <c r="Y26" s="2473"/>
      <c r="Z26" s="2473"/>
      <c r="AA26" s="51"/>
      <c r="AC26" s="131"/>
      <c r="AD26" s="872"/>
      <c r="AE26" s="132"/>
      <c r="AF26" s="131"/>
      <c r="AG26" s="131"/>
      <c r="AH26" s="131"/>
      <c r="AI26" s="812"/>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CE26" s="613">
        <f>+Funding!CI26</f>
        <v>1600000</v>
      </c>
      <c r="CF26" s="613">
        <f>+Funding!CJ26</f>
        <v>470</v>
      </c>
      <c r="CG26" s="613">
        <f>+Funding!CK26</f>
        <v>0</v>
      </c>
      <c r="CH26" s="613">
        <f>+Funding!CL26</f>
        <v>0</v>
      </c>
      <c r="CI26" s="613"/>
      <c r="CJ26" s="613">
        <f>+Funding!CN26</f>
        <v>0</v>
      </c>
    </row>
    <row r="27" spans="1:88" s="1" customFormat="1" ht="18.75" customHeight="1" thickTop="1" x14ac:dyDescent="0.25">
      <c r="I27" s="375"/>
      <c r="J27" s="493"/>
      <c r="K27" s="482"/>
      <c r="L27" s="375"/>
      <c r="M27" s="375"/>
      <c r="N27" s="375"/>
      <c r="O27" s="375"/>
      <c r="P27" s="375"/>
      <c r="Q27" s="375"/>
      <c r="R27" s="375"/>
      <c r="S27" s="375"/>
      <c r="T27" s="375"/>
      <c r="U27" s="375"/>
      <c r="V27" s="375"/>
      <c r="W27" s="375"/>
      <c r="X27" s="375"/>
      <c r="Y27" s="375"/>
      <c r="Z27" s="375"/>
      <c r="AA27" s="5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CE27" s="613">
        <f>+Funding!CI27</f>
        <v>1700000</v>
      </c>
      <c r="CF27" s="613">
        <f>+Funding!CJ27</f>
        <v>490</v>
      </c>
      <c r="CG27" s="613">
        <f>+Funding!CK27</f>
        <v>0</v>
      </c>
      <c r="CH27" s="613">
        <f>+Funding!CL27</f>
        <v>0</v>
      </c>
      <c r="CI27" s="613"/>
      <c r="CJ27" s="613">
        <f>+Funding!CN27</f>
        <v>0</v>
      </c>
    </row>
    <row r="28" spans="1:88" s="1" customFormat="1" ht="18.75" customHeight="1" x14ac:dyDescent="0.25">
      <c r="I28" s="375"/>
      <c r="J28" s="375"/>
      <c r="K28" s="375"/>
      <c r="L28" s="375"/>
      <c r="M28" s="375"/>
      <c r="N28" s="375"/>
      <c r="O28" s="375"/>
      <c r="P28" s="375"/>
      <c r="Q28" s="375"/>
      <c r="R28" s="375"/>
      <c r="S28" s="375"/>
      <c r="T28" s="375"/>
      <c r="U28" s="375"/>
      <c r="V28" s="375"/>
      <c r="W28" s="375"/>
      <c r="X28" s="375"/>
      <c r="Y28" s="375"/>
      <c r="Z28" s="375"/>
      <c r="AA28" s="5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CE28" s="613">
        <f>+Funding!CI28</f>
        <v>1800000</v>
      </c>
      <c r="CF28" s="613">
        <f>+Funding!CJ28</f>
        <v>510</v>
      </c>
      <c r="CG28" s="613">
        <f>+Funding!CK28</f>
        <v>0</v>
      </c>
      <c r="CH28" s="613">
        <f>+Funding!CL28</f>
        <v>0</v>
      </c>
      <c r="CI28" s="613"/>
      <c r="CJ28" s="613">
        <f>+Funding!CN28</f>
        <v>0</v>
      </c>
    </row>
    <row r="29" spans="1:88" s="1" customFormat="1" ht="18.75" customHeight="1" thickBot="1" x14ac:dyDescent="0.3">
      <c r="I29" s="375"/>
      <c r="J29" s="375"/>
      <c r="K29" s="375"/>
      <c r="L29" s="375"/>
      <c r="M29" s="375"/>
      <c r="N29" s="375"/>
      <c r="O29" s="375"/>
      <c r="P29" s="375"/>
      <c r="Q29" s="375"/>
      <c r="R29" s="375"/>
      <c r="S29" s="375"/>
      <c r="T29" s="375"/>
      <c r="U29" s="375"/>
      <c r="V29" s="375"/>
      <c r="W29" s="375"/>
      <c r="X29" s="375"/>
      <c r="Y29" s="375"/>
      <c r="Z29" s="375"/>
      <c r="AA29" s="5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CE29" s="613">
        <f>+Funding!CI29</f>
        <v>1900000</v>
      </c>
      <c r="CF29" s="613">
        <f>+Funding!CJ29</f>
        <v>530</v>
      </c>
      <c r="CG29" s="613">
        <f>+Funding!CK29</f>
        <v>0</v>
      </c>
      <c r="CH29" s="613">
        <f>+Funding!CL29</f>
        <v>0</v>
      </c>
      <c r="CI29" s="613"/>
      <c r="CJ29" s="613">
        <f>+Funding!CN29</f>
        <v>0</v>
      </c>
    </row>
    <row r="30" spans="1:88" s="1" customFormat="1" ht="18.75" customHeight="1" thickTop="1" x14ac:dyDescent="0.2">
      <c r="A30" s="2430" t="s">
        <v>245</v>
      </c>
      <c r="B30" s="2430"/>
      <c r="C30" s="2430"/>
      <c r="D30" s="2430"/>
      <c r="E30" s="2430"/>
      <c r="F30" s="2430"/>
      <c r="G30" s="2430"/>
      <c r="H30" s="2430"/>
      <c r="I30" s="2443" t="s">
        <v>244</v>
      </c>
      <c r="J30" s="2443"/>
      <c r="K30" s="2443"/>
      <c r="L30" s="2443" t="s">
        <v>244</v>
      </c>
      <c r="M30" s="2443"/>
      <c r="N30" s="2443"/>
      <c r="O30" s="2449" t="s">
        <v>242</v>
      </c>
      <c r="P30" s="2450"/>
      <c r="Q30" s="2451"/>
      <c r="R30" s="2443" t="s">
        <v>243</v>
      </c>
      <c r="S30" s="2443"/>
      <c r="T30" s="2443"/>
      <c r="U30" s="2443" t="s">
        <v>243</v>
      </c>
      <c r="V30" s="2443"/>
      <c r="W30" s="2443"/>
      <c r="X30" s="2443" t="s">
        <v>243</v>
      </c>
      <c r="Y30" s="2443"/>
      <c r="Z30" s="2443"/>
      <c r="AA30" s="5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CE30" s="613">
        <f>+Funding!CI30</f>
        <v>2000000</v>
      </c>
      <c r="CF30" s="613">
        <f>+Funding!CJ30</f>
        <v>550</v>
      </c>
      <c r="CG30" s="613">
        <f>+Funding!CK30</f>
        <v>0</v>
      </c>
      <c r="CH30" s="613">
        <f>+Funding!CL30</f>
        <v>0</v>
      </c>
      <c r="CI30" s="613"/>
      <c r="CJ30" s="613">
        <f>+Funding!CN30</f>
        <v>0</v>
      </c>
    </row>
    <row r="31" spans="1:88" s="1" customFormat="1" ht="18.75" customHeight="1" x14ac:dyDescent="0.25">
      <c r="A31" s="2495" t="s">
        <v>49</v>
      </c>
      <c r="B31" s="2495"/>
      <c r="C31" s="2495"/>
      <c r="D31" s="2495"/>
      <c r="E31" s="2495"/>
      <c r="F31" s="2495"/>
      <c r="G31" s="2495"/>
      <c r="H31" s="2496"/>
      <c r="I31" s="2482" t="str">
        <f>+O20</f>
        <v/>
      </c>
      <c r="J31" s="2482"/>
      <c r="K31" s="2482"/>
      <c r="L31" s="2482" t="str">
        <f>+O20</f>
        <v/>
      </c>
      <c r="M31" s="2482"/>
      <c r="N31" s="2483"/>
      <c r="O31" s="2484" t="str">
        <f>+O20</f>
        <v/>
      </c>
      <c r="P31" s="2482"/>
      <c r="Q31" s="2485"/>
      <c r="R31" s="2486" t="str">
        <f>+O20</f>
        <v/>
      </c>
      <c r="S31" s="2482"/>
      <c r="T31" s="2483"/>
      <c r="U31" s="2482" t="str">
        <f>+O20</f>
        <v/>
      </c>
      <c r="V31" s="2482"/>
      <c r="W31" s="2483"/>
      <c r="X31" s="2482" t="str">
        <f>+O20</f>
        <v/>
      </c>
      <c r="Y31" s="2482"/>
      <c r="Z31" s="2483"/>
      <c r="AA31" s="5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CE31" s="613">
        <f>+Funding!CI31</f>
        <v>99990000</v>
      </c>
      <c r="CF31" s="613">
        <f>+Funding!CJ31</f>
        <v>150</v>
      </c>
      <c r="CG31" s="613">
        <f>+Funding!CK31</f>
        <v>0</v>
      </c>
      <c r="CH31" s="613">
        <f>+Funding!CL31</f>
        <v>0</v>
      </c>
      <c r="CI31" s="613"/>
      <c r="CJ31" s="613">
        <f>+Funding!CN31</f>
        <v>0</v>
      </c>
    </row>
    <row r="32" spans="1:88" s="1" customFormat="1" ht="18.75" customHeight="1" x14ac:dyDescent="0.25">
      <c r="A32" s="2431" t="s">
        <v>51</v>
      </c>
      <c r="B32" s="2431"/>
      <c r="C32" s="2431"/>
      <c r="D32" s="2431"/>
      <c r="E32" s="2431"/>
      <c r="F32" s="2431"/>
      <c r="G32" s="2431"/>
      <c r="H32" s="2452"/>
      <c r="I32" s="2469">
        <f>+L32-0.5%</f>
        <v>3.0000000000000002E-2</v>
      </c>
      <c r="J32" s="2477"/>
      <c r="K32" s="2480"/>
      <c r="L32" s="2469">
        <f>+O32-0.5%</f>
        <v>3.5000000000000003E-2</v>
      </c>
      <c r="M32" s="2477"/>
      <c r="N32" s="2477"/>
      <c r="O32" s="2478">
        <f>+O23</f>
        <v>0.04</v>
      </c>
      <c r="P32" s="2477"/>
      <c r="Q32" s="2479"/>
      <c r="R32" s="2477">
        <f>+O32+0.5%</f>
        <v>4.4999999999999998E-2</v>
      </c>
      <c r="S32" s="2477"/>
      <c r="T32" s="2480"/>
      <c r="U32" s="2469">
        <f>+R32+0.5%</f>
        <v>4.9999999999999996E-2</v>
      </c>
      <c r="V32" s="2477"/>
      <c r="W32" s="2480"/>
      <c r="X32" s="2469">
        <f>+U32+0.5%</f>
        <v>5.4999999999999993E-2</v>
      </c>
      <c r="Y32" s="2477"/>
      <c r="Z32" s="2477"/>
      <c r="AA32" s="5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row>
    <row r="33" spans="1:68" s="1" customFormat="1" ht="18.75" customHeight="1" x14ac:dyDescent="0.25">
      <c r="A33" s="2431" t="s">
        <v>233</v>
      </c>
      <c r="B33" s="2431"/>
      <c r="C33" s="2431"/>
      <c r="D33" s="2431"/>
      <c r="E33" s="2431"/>
      <c r="F33" s="2431"/>
      <c r="G33" s="2431"/>
      <c r="H33" s="2452"/>
      <c r="I33" s="2458" t="e">
        <f>+I31*I32/12</f>
        <v>#VALUE!</v>
      </c>
      <c r="J33" s="2458"/>
      <c r="K33" s="2458"/>
      <c r="L33" s="2458" t="e">
        <f>+L31*L32/12</f>
        <v>#VALUE!</v>
      </c>
      <c r="M33" s="2458"/>
      <c r="N33" s="2461"/>
      <c r="O33" s="2465" t="e">
        <f>+O31*O32/12</f>
        <v>#VALUE!</v>
      </c>
      <c r="P33" s="2458"/>
      <c r="Q33" s="2466"/>
      <c r="R33" s="2467" t="e">
        <f>+R31*R32/12</f>
        <v>#VALUE!</v>
      </c>
      <c r="S33" s="2458"/>
      <c r="T33" s="2458"/>
      <c r="U33" s="2458" t="e">
        <f>+U31*U32/12</f>
        <v>#VALUE!</v>
      </c>
      <c r="V33" s="2458"/>
      <c r="W33" s="2458"/>
      <c r="X33" s="2458" t="e">
        <f>+X31*X32/12</f>
        <v>#VALUE!</v>
      </c>
      <c r="Y33" s="2458"/>
      <c r="Z33" s="2458"/>
      <c r="AA33" s="5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row>
    <row r="34" spans="1:68" s="1" customFormat="1" ht="18.75" customHeight="1" x14ac:dyDescent="0.25">
      <c r="A34" s="2431" t="str">
        <f>CONCATENATE("Instalment pm – P&amp;I (",O35,"y)")</f>
        <v>Instalment pm – P&amp;I (30y)</v>
      </c>
      <c r="B34" s="2431"/>
      <c r="C34" s="2431"/>
      <c r="D34" s="2431"/>
      <c r="E34" s="2431"/>
      <c r="F34" s="2431"/>
      <c r="G34" s="2431"/>
      <c r="H34" s="2452"/>
      <c r="I34" s="2461" t="e">
        <f>PMT(I32/12,30*12,-I31)</f>
        <v>#VALUE!</v>
      </c>
      <c r="J34" s="2470"/>
      <c r="K34" s="2467"/>
      <c r="L34" s="2461" t="e">
        <f>PMT(L32/12,30*12,-L31)</f>
        <v>#VALUE!</v>
      </c>
      <c r="M34" s="2470"/>
      <c r="N34" s="2470"/>
      <c r="O34" s="2471" t="e">
        <f>PMT(O32/12,30*12,-O31)</f>
        <v>#VALUE!</v>
      </c>
      <c r="P34" s="2470"/>
      <c r="Q34" s="2472"/>
      <c r="R34" s="2470" t="e">
        <f>PMT(R32/12,30*12,-R31)</f>
        <v>#VALUE!</v>
      </c>
      <c r="S34" s="2470"/>
      <c r="T34" s="2467"/>
      <c r="U34" s="2461" t="e">
        <f>PMT(U32/12,30*12,-U31)</f>
        <v>#VALUE!</v>
      </c>
      <c r="V34" s="2470"/>
      <c r="W34" s="2467"/>
      <c r="X34" s="2461" t="e">
        <f>PMT(X32/12,30*12,-X31)</f>
        <v>#VALUE!</v>
      </c>
      <c r="Y34" s="2470"/>
      <c r="Z34" s="2467"/>
      <c r="AA34" s="51"/>
      <c r="AB34" s="27"/>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row>
    <row r="35" spans="1:68" ht="18.75" customHeight="1" thickBot="1" x14ac:dyDescent="0.3">
      <c r="A35" s="1"/>
      <c r="B35" s="1"/>
      <c r="C35" s="1"/>
      <c r="D35" s="1"/>
      <c r="E35" s="1"/>
      <c r="F35" s="1"/>
      <c r="G35" s="1"/>
      <c r="H35" s="1"/>
      <c r="I35" s="375"/>
      <c r="J35" s="375"/>
      <c r="K35" s="375"/>
      <c r="L35" s="2444" t="s">
        <v>275</v>
      </c>
      <c r="M35" s="2444"/>
      <c r="N35" s="2444"/>
      <c r="O35" s="2445">
        <f>+O26</f>
        <v>30</v>
      </c>
      <c r="P35" s="2446"/>
      <c r="Q35" s="2447"/>
      <c r="R35" s="2448" t="s">
        <v>274</v>
      </c>
      <c r="S35" s="2448"/>
      <c r="T35" s="2448"/>
      <c r="U35" s="375"/>
      <c r="V35" s="375"/>
      <c r="W35" s="375"/>
      <c r="X35" s="375"/>
      <c r="Y35" s="375"/>
      <c r="Z35" s="375"/>
      <c r="AA35" s="51"/>
    </row>
    <row r="36" spans="1:68" ht="18.75" customHeight="1" thickTop="1" x14ac:dyDescent="0.25">
      <c r="A36" s="1"/>
      <c r="B36" s="1"/>
      <c r="C36" s="1"/>
      <c r="D36" s="1"/>
      <c r="E36" s="1"/>
      <c r="F36" s="1"/>
      <c r="G36" s="1"/>
      <c r="H36" s="1"/>
      <c r="I36" s="375"/>
      <c r="J36" s="375"/>
      <c r="K36" s="375"/>
      <c r="L36" s="375"/>
      <c r="M36" s="375"/>
      <c r="N36" s="375"/>
      <c r="O36" s="375"/>
      <c r="P36" s="375"/>
      <c r="Q36" s="375"/>
      <c r="R36" s="375"/>
      <c r="S36" s="375"/>
      <c r="T36" s="375"/>
      <c r="U36" s="375"/>
      <c r="V36" s="375"/>
      <c r="W36" s="375"/>
      <c r="X36" s="375"/>
      <c r="Y36" s="375"/>
      <c r="Z36" s="375"/>
      <c r="AA36" s="51"/>
    </row>
    <row r="37" spans="1:68" ht="18.75" customHeight="1" x14ac:dyDescent="0.25">
      <c r="A37" s="1"/>
      <c r="B37" s="1"/>
      <c r="C37" s="1"/>
      <c r="D37" s="1"/>
      <c r="E37" s="1"/>
      <c r="F37" s="1"/>
      <c r="G37" s="1"/>
      <c r="H37" s="1"/>
      <c r="I37" s="1"/>
      <c r="J37" s="51"/>
      <c r="K37" s="70"/>
      <c r="L37" s="1"/>
      <c r="M37" s="1"/>
      <c r="N37" s="1"/>
      <c r="O37" s="1"/>
      <c r="P37" s="1"/>
      <c r="Q37" s="1"/>
      <c r="R37" s="1"/>
      <c r="S37" s="1"/>
      <c r="T37" s="1"/>
      <c r="U37" s="1"/>
      <c r="V37" s="1"/>
      <c r="W37" s="1"/>
      <c r="X37" s="1"/>
      <c r="Y37" s="1"/>
      <c r="Z37" s="1"/>
      <c r="AA37" s="51"/>
    </row>
    <row r="38" spans="1:68" ht="18.75" customHeight="1" x14ac:dyDescent="0.25">
      <c r="A38" s="1"/>
      <c r="B38" s="1"/>
      <c r="C38" s="1"/>
      <c r="D38" s="1"/>
      <c r="E38" s="1"/>
      <c r="F38" s="1"/>
      <c r="G38" s="1"/>
      <c r="H38" s="1"/>
      <c r="I38" s="1"/>
      <c r="J38" s="51"/>
      <c r="K38" s="70"/>
      <c r="L38" s="1"/>
      <c r="M38" s="1"/>
      <c r="N38" s="1"/>
      <c r="O38" s="1"/>
      <c r="P38" s="1"/>
      <c r="Q38" s="1"/>
      <c r="R38" s="1"/>
      <c r="S38" s="1"/>
      <c r="T38" s="1"/>
      <c r="U38" s="1"/>
      <c r="V38" s="1"/>
      <c r="W38" s="1"/>
      <c r="X38" s="1"/>
      <c r="Y38" s="1"/>
      <c r="Z38" s="1"/>
      <c r="AA38" s="51"/>
    </row>
    <row r="39" spans="1:68" ht="18.75" customHeight="1" x14ac:dyDescent="0.25">
      <c r="A39" s="1"/>
      <c r="B39" s="1"/>
      <c r="C39" s="1"/>
      <c r="D39" s="1"/>
      <c r="E39" s="1"/>
      <c r="F39" s="1"/>
      <c r="G39" s="1"/>
      <c r="H39" s="1"/>
      <c r="I39" s="1"/>
      <c r="J39" s="51"/>
      <c r="K39" s="70"/>
      <c r="L39" s="1"/>
      <c r="M39" s="1"/>
      <c r="N39" s="1"/>
      <c r="O39" s="1"/>
      <c r="P39" s="1"/>
      <c r="Q39" s="1"/>
      <c r="R39" s="1"/>
      <c r="S39" s="1"/>
      <c r="T39" s="1"/>
      <c r="U39" s="1"/>
      <c r="V39" s="1"/>
      <c r="W39" s="1"/>
      <c r="X39" s="1"/>
      <c r="Y39" s="1"/>
      <c r="Z39" s="1"/>
      <c r="AA39" s="51"/>
    </row>
    <row r="40" spans="1:68" ht="18.75" customHeight="1" x14ac:dyDescent="0.25">
      <c r="A40" s="30"/>
      <c r="B40" s="30"/>
      <c r="C40" s="30"/>
      <c r="D40" s="30"/>
      <c r="E40" s="30"/>
      <c r="F40" s="30"/>
      <c r="G40" s="30"/>
      <c r="H40" s="30"/>
      <c r="I40" s="30"/>
      <c r="J40" s="30"/>
      <c r="K40" s="30"/>
      <c r="L40" s="30"/>
      <c r="M40" s="30"/>
      <c r="N40" s="30"/>
      <c r="O40" s="30"/>
      <c r="P40" s="30"/>
      <c r="Q40" s="31"/>
      <c r="R40" s="30"/>
      <c r="S40" s="30"/>
    </row>
    <row r="41" spans="1:68" ht="18.75" customHeight="1" x14ac:dyDescent="0.25">
      <c r="A41" s="30"/>
      <c r="B41" s="30"/>
      <c r="C41" s="30"/>
      <c r="D41" s="30"/>
      <c r="E41" s="30"/>
      <c r="F41" s="30"/>
      <c r="G41" s="30"/>
      <c r="H41" s="30"/>
      <c r="I41" s="30"/>
      <c r="J41" s="30"/>
      <c r="K41" s="30"/>
      <c r="L41" s="30"/>
      <c r="M41" s="30"/>
      <c r="N41" s="30"/>
      <c r="O41" s="30"/>
      <c r="P41" s="30"/>
      <c r="Q41" s="31"/>
      <c r="R41" s="30"/>
      <c r="S41" s="30"/>
    </row>
  </sheetData>
  <sheetProtection sheet="1" objects="1" scenarios="1"/>
  <mergeCells count="162">
    <mergeCell ref="A34:H34"/>
    <mergeCell ref="A10:F10"/>
    <mergeCell ref="I10:K10"/>
    <mergeCell ref="A15:F15"/>
    <mergeCell ref="A16:F16"/>
    <mergeCell ref="L17:N17"/>
    <mergeCell ref="L16:N16"/>
    <mergeCell ref="R12:T12"/>
    <mergeCell ref="O17:Q17"/>
    <mergeCell ref="R14:T14"/>
    <mergeCell ref="R17:T17"/>
    <mergeCell ref="O16:Q16"/>
    <mergeCell ref="I20:K20"/>
    <mergeCell ref="A30:H30"/>
    <mergeCell ref="A33:H33"/>
    <mergeCell ref="A32:H32"/>
    <mergeCell ref="A31:H31"/>
    <mergeCell ref="O21:Q21"/>
    <mergeCell ref="A17:F17"/>
    <mergeCell ref="O12:Q12"/>
    <mergeCell ref="I31:K31"/>
    <mergeCell ref="I32:K32"/>
    <mergeCell ref="A24:H24"/>
    <mergeCell ref="I26:K26"/>
    <mergeCell ref="U16:W16"/>
    <mergeCell ref="U15:W15"/>
    <mergeCell ref="R13:T13"/>
    <mergeCell ref="X32:Z32"/>
    <mergeCell ref="U17:W17"/>
    <mergeCell ref="X23:Z23"/>
    <mergeCell ref="X24:Z24"/>
    <mergeCell ref="X16:Z16"/>
    <mergeCell ref="R23:T23"/>
    <mergeCell ref="R21:T21"/>
    <mergeCell ref="R24:T24"/>
    <mergeCell ref="X20:Z20"/>
    <mergeCell ref="U21:W21"/>
    <mergeCell ref="X21:Z21"/>
    <mergeCell ref="X17:Z17"/>
    <mergeCell ref="R16:T16"/>
    <mergeCell ref="U20:W20"/>
    <mergeCell ref="X34:Z34"/>
    <mergeCell ref="L32:N32"/>
    <mergeCell ref="O32:Q32"/>
    <mergeCell ref="R32:T32"/>
    <mergeCell ref="U32:W32"/>
    <mergeCell ref="X33:Z33"/>
    <mergeCell ref="R34:T34"/>
    <mergeCell ref="U34:W34"/>
    <mergeCell ref="X19:Z19"/>
    <mergeCell ref="R19:T19"/>
    <mergeCell ref="U19:W19"/>
    <mergeCell ref="L24:N24"/>
    <mergeCell ref="X25:Z25"/>
    <mergeCell ref="R25:T25"/>
    <mergeCell ref="L31:N31"/>
    <mergeCell ref="O31:Q31"/>
    <mergeCell ref="R31:T31"/>
    <mergeCell ref="U31:W31"/>
    <mergeCell ref="X31:Z31"/>
    <mergeCell ref="U30:W30"/>
    <mergeCell ref="X30:Z30"/>
    <mergeCell ref="O25:Q25"/>
    <mergeCell ref="R30:T30"/>
    <mergeCell ref="X26:Z26"/>
    <mergeCell ref="I16:K16"/>
    <mergeCell ref="I17:K17"/>
    <mergeCell ref="A20:G20"/>
    <mergeCell ref="L13:N13"/>
    <mergeCell ref="L14:N14"/>
    <mergeCell ref="A14:F14"/>
    <mergeCell ref="I13:K13"/>
    <mergeCell ref="I12:K12"/>
    <mergeCell ref="I11:K11"/>
    <mergeCell ref="L15:N15"/>
    <mergeCell ref="A19:G19"/>
    <mergeCell ref="L11:N11"/>
    <mergeCell ref="L12:N12"/>
    <mergeCell ref="I14:K14"/>
    <mergeCell ref="I15:K15"/>
    <mergeCell ref="O35:Q35"/>
    <mergeCell ref="I33:K33"/>
    <mergeCell ref="L33:N33"/>
    <mergeCell ref="O33:Q33"/>
    <mergeCell ref="R33:T33"/>
    <mergeCell ref="U33:W33"/>
    <mergeCell ref="U23:W23"/>
    <mergeCell ref="U24:W24"/>
    <mergeCell ref="U25:W25"/>
    <mergeCell ref="I23:K23"/>
    <mergeCell ref="I24:K24"/>
    <mergeCell ref="L23:N23"/>
    <mergeCell ref="I34:K34"/>
    <mergeCell ref="L34:N34"/>
    <mergeCell ref="O34:Q34"/>
    <mergeCell ref="U26:W26"/>
    <mergeCell ref="R35:T35"/>
    <mergeCell ref="L35:N35"/>
    <mergeCell ref="O24:Q24"/>
    <mergeCell ref="O23:Q23"/>
    <mergeCell ref="A21:G21"/>
    <mergeCell ref="I30:K30"/>
    <mergeCell ref="L30:N30"/>
    <mergeCell ref="L26:N26"/>
    <mergeCell ref="O26:Q26"/>
    <mergeCell ref="R26:T26"/>
    <mergeCell ref="O30:Q30"/>
    <mergeCell ref="A23:H23"/>
    <mergeCell ref="I19:K19"/>
    <mergeCell ref="L19:N19"/>
    <mergeCell ref="O19:Q19"/>
    <mergeCell ref="A25:H25"/>
    <mergeCell ref="I25:K25"/>
    <mergeCell ref="I21:K21"/>
    <mergeCell ref="L20:N20"/>
    <mergeCell ref="L21:N21"/>
    <mergeCell ref="O20:Q20"/>
    <mergeCell ref="R20:T20"/>
    <mergeCell ref="L25:N25"/>
    <mergeCell ref="X12:Z12"/>
    <mergeCell ref="X13:Z13"/>
    <mergeCell ref="X14:Z14"/>
    <mergeCell ref="X15:Z15"/>
    <mergeCell ref="O9:Q9"/>
    <mergeCell ref="R9:T9"/>
    <mergeCell ref="U9:W9"/>
    <mergeCell ref="O10:Q10"/>
    <mergeCell ref="R10:T10"/>
    <mergeCell ref="U10:W10"/>
    <mergeCell ref="O11:Q11"/>
    <mergeCell ref="U14:W14"/>
    <mergeCell ref="U13:W13"/>
    <mergeCell ref="O13:Q13"/>
    <mergeCell ref="R11:T11"/>
    <mergeCell ref="U11:W11"/>
    <mergeCell ref="U12:W12"/>
    <mergeCell ref="O15:Q15"/>
    <mergeCell ref="O14:Q14"/>
    <mergeCell ref="L9:N9"/>
    <mergeCell ref="L10:N10"/>
    <mergeCell ref="R15:T15"/>
    <mergeCell ref="B6:Z6"/>
    <mergeCell ref="X9:Z9"/>
    <mergeCell ref="X10:Z10"/>
    <mergeCell ref="X7:Z7"/>
    <mergeCell ref="X8:Z8"/>
    <mergeCell ref="A1:U1"/>
    <mergeCell ref="A2:AA2"/>
    <mergeCell ref="B3:F3"/>
    <mergeCell ref="H3:R3"/>
    <mergeCell ref="S3:U3"/>
    <mergeCell ref="V3:AA3"/>
    <mergeCell ref="B4:F4"/>
    <mergeCell ref="H4:J4"/>
    <mergeCell ref="S4:U4"/>
    <mergeCell ref="V4:Z4"/>
    <mergeCell ref="A8:H8"/>
    <mergeCell ref="A9:F9"/>
    <mergeCell ref="I9:K9"/>
    <mergeCell ref="A7:W7"/>
    <mergeCell ref="O8:Q8"/>
    <mergeCell ref="X11:Z11"/>
  </mergeCells>
  <conditionalFormatting sqref="I19:K19">
    <cfRule type="expression" dxfId="31" priority="6">
      <formula>I19&gt;0.8</formula>
    </cfRule>
  </conditionalFormatting>
  <conditionalFormatting sqref="L19:N19">
    <cfRule type="expression" dxfId="30" priority="5">
      <formula>L19&gt;0.8</formula>
    </cfRule>
  </conditionalFormatting>
  <conditionalFormatting sqref="O19:Q19">
    <cfRule type="expression" dxfId="29" priority="4">
      <formula>O19&gt;0.8</formula>
    </cfRule>
  </conditionalFormatting>
  <conditionalFormatting sqref="R19:T19">
    <cfRule type="expression" dxfId="28" priority="3">
      <formula>R19&gt;0.8</formula>
    </cfRule>
  </conditionalFormatting>
  <conditionalFormatting sqref="U19:W19">
    <cfRule type="expression" dxfId="27" priority="2">
      <formula>U19&gt;0.8</formula>
    </cfRule>
  </conditionalFormatting>
  <conditionalFormatting sqref="X19:Z19">
    <cfRule type="expression" dxfId="26" priority="1">
      <formula>X19&gt;0.8</formula>
    </cfRule>
  </conditionalFormatting>
  <dataValidations count="1">
    <dataValidation type="list" allowBlank="1" showInputMessage="1" showErrorMessage="1" sqref="I10:Z10">
      <formula1>$AD$7:$AD$14</formula1>
    </dataValidation>
  </dataValidations>
  <pageMargins left="0.23622047244094491" right="0.23622047244094491" top="0.74803149606299213" bottom="0.74803149606299213" header="0.31496062992125984" footer="0"/>
  <pageSetup paperSize="9" orientation="portrait" r:id="rId1"/>
  <headerFooter>
    <oddHeader>&amp;R&amp;G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ET42"/>
  <sheetViews>
    <sheetView showGridLines="0" showRuler="0" view="pageLayout" zoomScale="106" zoomScaleNormal="100" zoomScalePageLayoutView="106" workbookViewId="0">
      <selection activeCell="U15" sqref="U15:W15"/>
    </sheetView>
  </sheetViews>
  <sheetFormatPr defaultColWidth="3.5703125" defaultRowHeight="18.75" customHeight="1" x14ac:dyDescent="0.25"/>
  <cols>
    <col min="1" max="16" width="3.5703125" style="21"/>
    <col min="17" max="17" width="3.5703125" style="23"/>
    <col min="18" max="27" width="3.5703125" style="21"/>
    <col min="28" max="28" width="3.5703125" style="21" customWidth="1"/>
    <col min="29" max="30" width="10.5703125" style="94" customWidth="1"/>
    <col min="31" max="32" width="7.5703125" style="94" customWidth="1"/>
    <col min="33" max="33" width="9.140625" style="94" bestFit="1" customWidth="1"/>
    <col min="34" max="38" width="8.7109375" style="94" bestFit="1" customWidth="1"/>
    <col min="39" max="39" width="8" style="94" bestFit="1" customWidth="1"/>
    <col min="40" max="45" width="3.5703125" style="94"/>
    <col min="46" max="68" width="3.5703125" style="129"/>
    <col min="69" max="75" width="3.5703125" style="21"/>
    <col min="76" max="81" width="9.85546875" style="21" bestFit="1" customWidth="1"/>
    <col min="82" max="82" width="3" style="21" bestFit="1" customWidth="1"/>
    <col min="83" max="83" width="10.85546875" style="21" bestFit="1" customWidth="1"/>
    <col min="84" max="84" width="7.140625" style="21" bestFit="1" customWidth="1"/>
    <col min="85" max="85" width="3" style="21" bestFit="1" customWidth="1"/>
    <col min="86" max="86" width="6.5703125" style="21" bestFit="1" customWidth="1"/>
    <col min="87" max="87" width="3" style="21" bestFit="1" customWidth="1"/>
    <col min="88" max="88" width="5" style="21" bestFit="1" customWidth="1"/>
    <col min="89" max="90" width="3" style="21" bestFit="1" customWidth="1"/>
    <col min="91" max="16384" width="3.5703125" style="21"/>
  </cols>
  <sheetData>
    <row r="1" spans="1:150" ht="60" customHeight="1" x14ac:dyDescent="0.25">
      <c r="A1" s="2498" t="s">
        <v>415</v>
      </c>
      <c r="B1" s="2498"/>
      <c r="C1" s="2498"/>
      <c r="D1" s="2498"/>
      <c r="E1" s="2498"/>
      <c r="F1" s="2498"/>
      <c r="G1" s="2498"/>
      <c r="H1" s="2498"/>
      <c r="I1" s="2498"/>
      <c r="J1" s="2498"/>
      <c r="K1" s="2498"/>
      <c r="L1" s="2498"/>
      <c r="M1" s="2498"/>
      <c r="N1" s="2498"/>
      <c r="O1" s="2498"/>
      <c r="P1" s="2498"/>
      <c r="Q1" s="2498"/>
      <c r="R1" s="2498"/>
      <c r="S1" s="2498"/>
      <c r="T1" s="2498"/>
      <c r="U1" s="2498"/>
      <c r="AC1" s="871" t="s">
        <v>434</v>
      </c>
      <c r="AD1" s="871"/>
      <c r="AE1" s="871"/>
      <c r="AF1" s="871"/>
      <c r="AG1" s="871"/>
      <c r="AH1" s="871"/>
      <c r="AI1" s="871"/>
      <c r="AJ1" s="871"/>
      <c r="AK1" s="871"/>
      <c r="AL1" s="871"/>
      <c r="AM1" s="871"/>
      <c r="AN1" s="871"/>
      <c r="AO1" s="871"/>
      <c r="AP1" s="871"/>
      <c r="AQ1" s="871"/>
      <c r="AR1" s="871"/>
      <c r="AS1" s="871"/>
      <c r="AT1" s="871"/>
      <c r="AU1" s="871"/>
      <c r="AV1" s="871"/>
      <c r="AW1" s="871"/>
      <c r="AX1" s="871"/>
      <c r="AY1" s="871"/>
      <c r="AZ1" s="871"/>
    </row>
    <row r="2" spans="1:150" s="27" customFormat="1" ht="15"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C2" s="94"/>
      <c r="AD2" s="94"/>
      <c r="AE2" s="94"/>
      <c r="AF2" s="94"/>
      <c r="AG2" s="94"/>
      <c r="AH2" s="94"/>
      <c r="AI2" s="94"/>
      <c r="AJ2" s="94"/>
      <c r="AK2" s="94"/>
      <c r="AL2" s="94"/>
      <c r="AM2" s="94"/>
      <c r="AN2" s="94"/>
      <c r="AO2" s="94"/>
      <c r="AP2" s="94"/>
      <c r="AQ2" s="94"/>
      <c r="AR2" s="94"/>
      <c r="AS2" s="94"/>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row>
    <row r="3" spans="1:150" s="192" customFormat="1" ht="15"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t="s">
        <v>685</v>
      </c>
      <c r="T3" s="1724"/>
      <c r="U3" s="1724"/>
      <c r="V3" s="1727" t="str">
        <f>+Funding!U3</f>
        <v>Purchase - Invest</v>
      </c>
      <c r="W3" s="1727"/>
      <c r="X3" s="1727"/>
      <c r="Y3" s="1727"/>
      <c r="Z3" s="1727"/>
      <c r="AA3" s="1727"/>
      <c r="AB3" s="21"/>
      <c r="AC3" s="190"/>
      <c r="AD3" s="190"/>
      <c r="AE3" s="190"/>
      <c r="AF3" s="190"/>
      <c r="AG3" s="190"/>
      <c r="AH3" s="190"/>
      <c r="AI3" s="190"/>
      <c r="AJ3" s="190"/>
      <c r="AK3" s="190"/>
      <c r="AL3" s="190"/>
      <c r="AM3" s="190"/>
      <c r="AN3" s="190"/>
      <c r="AO3" s="190"/>
      <c r="AP3" s="191"/>
      <c r="AQ3" s="191"/>
      <c r="AR3" s="191"/>
      <c r="AS3" s="191"/>
      <c r="AT3" s="191"/>
      <c r="AU3" s="191"/>
      <c r="AV3" s="191"/>
      <c r="AW3" s="191"/>
      <c r="AX3" s="191"/>
      <c r="AY3" s="191"/>
      <c r="AZ3" s="191"/>
      <c r="BA3" s="191"/>
      <c r="BB3" s="191"/>
      <c r="BC3" s="191"/>
      <c r="BD3" s="191"/>
      <c r="BE3" s="191"/>
      <c r="BF3" s="191"/>
      <c r="BG3" s="191"/>
      <c r="BH3" s="191"/>
    </row>
    <row r="4" spans="1:150" ht="15.75" thickBot="1" x14ac:dyDescent="0.3">
      <c r="A4" s="686"/>
      <c r="B4" s="1724" t="s">
        <v>670</v>
      </c>
      <c r="C4" s="1724"/>
      <c r="D4" s="1724"/>
      <c r="E4" s="1724"/>
      <c r="F4" s="1724"/>
      <c r="G4" s="687"/>
      <c r="H4" s="1725">
        <f>+Purchase</f>
        <v>0</v>
      </c>
      <c r="I4" s="1725"/>
      <c r="J4" s="1725"/>
      <c r="K4" s="688"/>
      <c r="L4" s="688"/>
      <c r="M4" s="688"/>
      <c r="N4" s="688"/>
      <c r="O4" s="688"/>
      <c r="P4" s="688"/>
      <c r="Q4" s="688"/>
      <c r="R4" s="688"/>
      <c r="S4" s="1724" t="s">
        <v>686</v>
      </c>
      <c r="T4" s="1724"/>
      <c r="U4" s="1724"/>
      <c r="V4" s="1727" t="str">
        <f>+Funding!U4</f>
        <v/>
      </c>
      <c r="W4" s="1727"/>
      <c r="X4" s="1727"/>
      <c r="Y4" s="1727"/>
      <c r="Z4" s="1727"/>
      <c r="AA4" s="686"/>
    </row>
    <row r="5" spans="1:150" s="1" customFormat="1" ht="15" x14ac:dyDescent="0.25">
      <c r="A5" s="689"/>
      <c r="B5" s="689"/>
      <c r="C5" s="689"/>
      <c r="D5" s="689"/>
      <c r="E5" s="689"/>
      <c r="F5" s="689"/>
      <c r="G5" s="689"/>
      <c r="H5" s="689"/>
      <c r="I5" s="690"/>
      <c r="J5" s="690"/>
      <c r="K5" s="689"/>
      <c r="L5" s="689"/>
      <c r="M5" s="689"/>
      <c r="N5" s="689"/>
      <c r="O5" s="689"/>
      <c r="P5" s="689"/>
      <c r="Q5" s="689"/>
      <c r="R5" s="689"/>
      <c r="S5" s="689"/>
      <c r="T5" s="689"/>
      <c r="U5" s="689"/>
      <c r="V5" s="689"/>
      <c r="W5" s="689"/>
      <c r="X5" s="689"/>
      <c r="Y5" s="689"/>
      <c r="Z5" s="689"/>
      <c r="AA5" s="689"/>
      <c r="AC5" s="135"/>
      <c r="AD5" s="872"/>
      <c r="AE5" s="132"/>
      <c r="AF5" s="132"/>
      <c r="AG5" s="145">
        <f>+I9</f>
        <v>-100000</v>
      </c>
      <c r="AH5" s="145">
        <f>+L9</f>
        <v>-50000</v>
      </c>
      <c r="AI5" s="807">
        <f>+O9</f>
        <v>0</v>
      </c>
      <c r="AJ5" s="145">
        <f>+R9</f>
        <v>50000</v>
      </c>
      <c r="AK5" s="145">
        <f>+U9</f>
        <v>100000</v>
      </c>
      <c r="AL5" s="145">
        <f>+X9</f>
        <v>150000</v>
      </c>
      <c r="AM5" s="94"/>
      <c r="AN5" s="135"/>
      <c r="AO5" s="135"/>
      <c r="AP5" s="135"/>
      <c r="AQ5" s="135"/>
      <c r="AR5" s="135"/>
      <c r="AS5" s="135"/>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150" s="709" customFormat="1" ht="11.25" x14ac:dyDescent="0.2">
      <c r="A6" s="689"/>
      <c r="B6" s="1722" t="e">
        <f>CONCATENATE("Proposed Budgets based on a set Deposit Amount (ie different purchase price with a $",+TEXT(O19,"#,###")," deposit")</f>
        <v>#VALUE!</v>
      </c>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1722"/>
      <c r="AA6" s="689"/>
      <c r="AC6" s="680"/>
      <c r="AD6" s="710"/>
      <c r="AE6" s="711" t="s">
        <v>35</v>
      </c>
      <c r="AF6" s="711" t="s">
        <v>36</v>
      </c>
      <c r="AG6" s="711" t="s">
        <v>37</v>
      </c>
      <c r="AH6" s="803" t="s">
        <v>218</v>
      </c>
      <c r="AI6" s="808" t="s">
        <v>219</v>
      </c>
      <c r="AJ6" s="805" t="s">
        <v>220</v>
      </c>
      <c r="AK6" s="711" t="s">
        <v>221</v>
      </c>
      <c r="AL6" s="711" t="s">
        <v>222</v>
      </c>
      <c r="AM6" s="870"/>
      <c r="AN6" s="680"/>
      <c r="AO6" s="680"/>
      <c r="AP6" s="680"/>
      <c r="AQ6" s="680"/>
      <c r="AR6" s="680"/>
      <c r="AS6" s="680"/>
      <c r="AT6" s="680"/>
      <c r="AU6" s="680"/>
      <c r="AV6" s="680"/>
      <c r="AW6" s="680"/>
      <c r="AX6" s="680"/>
      <c r="AY6" s="680"/>
      <c r="AZ6" s="680"/>
      <c r="BA6" s="680"/>
      <c r="BB6" s="680"/>
      <c r="BC6" s="680"/>
      <c r="BD6" s="680"/>
      <c r="BE6" s="680"/>
      <c r="BF6" s="680"/>
      <c r="BG6" s="680"/>
      <c r="BH6" s="680"/>
      <c r="BI6" s="680"/>
      <c r="BJ6" s="680"/>
      <c r="BK6" s="680"/>
      <c r="BL6" s="680"/>
      <c r="BM6" s="680"/>
      <c r="BN6" s="680"/>
      <c r="BO6" s="680"/>
      <c r="BP6" s="680"/>
    </row>
    <row r="7" spans="1:150" s="65" customFormat="1" ht="18.75" customHeight="1" thickBot="1" x14ac:dyDescent="0.3">
      <c r="A7" s="2432"/>
      <c r="B7" s="2432"/>
      <c r="C7" s="2432"/>
      <c r="D7" s="2432"/>
      <c r="E7" s="2432"/>
      <c r="F7" s="2432"/>
      <c r="G7" s="2432"/>
      <c r="H7" s="2432"/>
      <c r="I7" s="2432"/>
      <c r="J7" s="2432"/>
      <c r="K7" s="2432"/>
      <c r="L7" s="2432"/>
      <c r="M7" s="2432"/>
      <c r="N7" s="2432"/>
      <c r="O7" s="2432"/>
      <c r="P7" s="2432"/>
      <c r="Q7" s="2432"/>
      <c r="R7" s="2432"/>
      <c r="S7" s="2432"/>
      <c r="T7" s="2432"/>
      <c r="U7" s="2432"/>
      <c r="V7" s="2432"/>
      <c r="W7" s="2432"/>
      <c r="X7" s="2426" t="s">
        <v>224</v>
      </c>
      <c r="Y7" s="2426"/>
      <c r="Z7" s="2426"/>
      <c r="AA7" s="104"/>
      <c r="AC7" s="135"/>
      <c r="AD7" s="147" t="s">
        <v>39</v>
      </c>
      <c r="AE7" s="134">
        <f>+Settings!W4</f>
        <v>262</v>
      </c>
      <c r="AF7" s="134">
        <f>+Settings!X4</f>
        <v>135</v>
      </c>
      <c r="AG7" s="134" t="str">
        <f t="shared" ref="AG7:AL7" si="0">IF(AND(BX13&gt;=0,BX13&lt;200000),2*INT((BX13)/100),IF(AND(BX13&gt;=200000,BX13&lt;300000),4000+3.5*INT((BX13-199901)/100),IF(AND(BX13&gt;=300000,BX13&lt;500000),7500+4.15*INT((BX13-299901)/100),IF(AND(BX13&gt;=500000,BX13&lt;750000),15800+5*INT((BX13-499901)/100),IF(AND(BX13&gt;=750000,BX13&lt;1000000),28300+6.5*INT((BX13-749901)/100),IF(AND(BX13&gt;=1000000,BX13&lt;1455000),44550+7*INT((BX13-999901)/100),IF(BX13&gt;=1455000,5.25*INT((BX13)/100),"Check")))))))</f>
        <v>Check</v>
      </c>
      <c r="AH7" s="804" t="str">
        <f t="shared" si="0"/>
        <v>Check</v>
      </c>
      <c r="AI7" s="809">
        <f t="shared" si="0"/>
        <v>0</v>
      </c>
      <c r="AJ7" s="806">
        <f t="shared" si="0"/>
        <v>1000</v>
      </c>
      <c r="AK7" s="134">
        <f t="shared" si="0"/>
        <v>2000</v>
      </c>
      <c r="AL7" s="134">
        <f t="shared" si="0"/>
        <v>3000</v>
      </c>
      <c r="AM7" s="94"/>
      <c r="AN7" s="135"/>
      <c r="AO7" s="135"/>
      <c r="AP7" s="135"/>
      <c r="AQ7" s="135"/>
      <c r="AR7" s="135"/>
      <c r="AS7" s="135"/>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
      <c r="BR7" s="1"/>
      <c r="BS7" s="1"/>
      <c r="BT7" s="1"/>
      <c r="BU7" s="1"/>
      <c r="BV7" s="1"/>
      <c r="BW7" s="1"/>
      <c r="BX7" s="1"/>
      <c r="BY7" s="1"/>
      <c r="BZ7" s="1"/>
      <c r="CA7" s="1"/>
      <c r="CB7" s="1"/>
      <c r="CC7" s="1"/>
      <c r="CD7" s="1"/>
      <c r="CE7" s="421" t="str">
        <f>+Funding!CI7</f>
        <v>WA Transfer</v>
      </c>
      <c r="CF7" s="421" t="str">
        <f>+Funding!CJ7</f>
        <v>WA Fee</v>
      </c>
      <c r="CG7" s="421"/>
      <c r="CH7" s="421" t="str">
        <f>+Funding!CL7</f>
        <v>Vic Fee</v>
      </c>
      <c r="CI7" s="421"/>
      <c r="CJ7" s="421">
        <f>+Funding!CN7</f>
        <v>0</v>
      </c>
      <c r="CK7" s="42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row>
    <row r="8" spans="1:150" s="1" customFormat="1" ht="18.75" customHeight="1" thickTop="1" x14ac:dyDescent="0.25">
      <c r="A8" s="2430" t="s">
        <v>46</v>
      </c>
      <c r="B8" s="2430"/>
      <c r="C8" s="2430"/>
      <c r="D8" s="2430"/>
      <c r="E8" s="2430"/>
      <c r="F8" s="2430"/>
      <c r="G8" s="2430"/>
      <c r="H8" s="2430"/>
      <c r="I8" s="66"/>
      <c r="J8" s="66"/>
      <c r="K8" s="66"/>
      <c r="L8" s="66"/>
      <c r="M8" s="66"/>
      <c r="N8" s="66"/>
      <c r="O8" s="2516" t="s">
        <v>276</v>
      </c>
      <c r="P8" s="2517"/>
      <c r="Q8" s="2518"/>
      <c r="R8" s="66"/>
      <c r="S8" s="66"/>
      <c r="T8" s="66"/>
      <c r="U8" s="66"/>
      <c r="V8" s="66"/>
      <c r="W8" s="66"/>
      <c r="X8" s="2427">
        <v>50000</v>
      </c>
      <c r="Y8" s="2428"/>
      <c r="Z8" s="2429"/>
      <c r="AA8" s="66"/>
      <c r="AC8" s="146"/>
      <c r="AD8" s="147" t="s">
        <v>34</v>
      </c>
      <c r="AE8" s="134">
        <f>+Settings!W5</f>
        <v>272</v>
      </c>
      <c r="AF8" s="134">
        <f>+Settings!X5</f>
        <v>136</v>
      </c>
      <c r="AG8" s="134" t="str">
        <f t="shared" ref="AG8:AL8" si="1">IF(AND(AG5&gt;=80000,AG5&lt;300000),1290+3.5*INT((AG5-79901)/100),IF(AND(AG5&gt;=300000,AG5&lt;1000000),8990+4.5*INT((AG5-299901)/100),IF(AG5&gt;=1000000,40490+5.5*INT((AG5-999901)/100),"NO DUTY")))</f>
        <v>NO DUTY</v>
      </c>
      <c r="AH8" s="804" t="str">
        <f t="shared" si="1"/>
        <v>NO DUTY</v>
      </c>
      <c r="AI8" s="809" t="str">
        <f t="shared" si="1"/>
        <v>NO DUTY</v>
      </c>
      <c r="AJ8" s="806" t="str">
        <f t="shared" si="1"/>
        <v>NO DUTY</v>
      </c>
      <c r="AK8" s="134">
        <f t="shared" si="1"/>
        <v>1990</v>
      </c>
      <c r="AL8" s="134">
        <f t="shared" si="1"/>
        <v>3740</v>
      </c>
      <c r="AM8" s="94"/>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65"/>
      <c r="BR8" s="65"/>
      <c r="BS8" s="65"/>
      <c r="BT8" s="65"/>
      <c r="BU8" s="65"/>
      <c r="BV8" s="65"/>
      <c r="BW8" s="65"/>
      <c r="BX8" s="65"/>
      <c r="BY8" s="65"/>
      <c r="BZ8" s="65"/>
      <c r="CA8" s="65"/>
      <c r="CB8" s="65"/>
      <c r="CC8" s="65"/>
      <c r="CD8" s="65"/>
      <c r="CE8" s="613">
        <f>+Funding!CI8</f>
        <v>0</v>
      </c>
      <c r="CF8" s="613">
        <f>+Funding!CJ8</f>
        <v>160</v>
      </c>
      <c r="CG8" s="613">
        <f>+Funding!CK8</f>
        <v>0</v>
      </c>
      <c r="CH8" s="613">
        <f>+Funding!CL8</f>
        <v>344</v>
      </c>
      <c r="CI8" s="613"/>
      <c r="CJ8" s="613">
        <f>+Funding!CN8</f>
        <v>0</v>
      </c>
      <c r="CK8" s="613"/>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row>
    <row r="9" spans="1:150" s="65" customFormat="1" ht="18.75" customHeight="1" x14ac:dyDescent="0.25">
      <c r="A9" s="2431" t="s">
        <v>32</v>
      </c>
      <c r="B9" s="2431"/>
      <c r="C9" s="2431"/>
      <c r="D9" s="2431"/>
      <c r="E9" s="2431"/>
      <c r="F9" s="2431"/>
      <c r="G9" s="375"/>
      <c r="H9" s="1"/>
      <c r="I9" s="2420">
        <f>+L9-X8</f>
        <v>-100000</v>
      </c>
      <c r="J9" s="2421"/>
      <c r="K9" s="2424"/>
      <c r="L9" s="2420">
        <f>+O9-X8</f>
        <v>-50000</v>
      </c>
      <c r="M9" s="2421"/>
      <c r="N9" s="2421"/>
      <c r="O9" s="2519">
        <f>+Funding!G11</f>
        <v>0</v>
      </c>
      <c r="P9" s="2437"/>
      <c r="Q9" s="2520"/>
      <c r="R9" s="2421">
        <f>+O9+X8</f>
        <v>50000</v>
      </c>
      <c r="S9" s="2421"/>
      <c r="T9" s="2424"/>
      <c r="U9" s="2420">
        <f>+R9+X8</f>
        <v>100000</v>
      </c>
      <c r="V9" s="2421"/>
      <c r="W9" s="2424"/>
      <c r="X9" s="2420">
        <f>+U9+X8</f>
        <v>150000</v>
      </c>
      <c r="Y9" s="2421"/>
      <c r="Z9" s="2424"/>
      <c r="AA9" s="21"/>
      <c r="AC9" s="135"/>
      <c r="AD9" s="147" t="s">
        <v>41</v>
      </c>
      <c r="AE9" s="134" t="str">
        <f>+Settings!W6</f>
        <v>Varies</v>
      </c>
      <c r="AF9" s="134">
        <f>+Settings!X6</f>
        <v>175</v>
      </c>
      <c r="AG9" s="134" t="str">
        <f t="shared" ref="AG9:AL9" si="2">IF(AND(BX13&gt;=75000,BX13&lt;540000),1050+3.5*INT((BX13-74901)/100),IF(AND(BX13&gt;=540000,BX13&lt;1000000),17325+4.5*INT((BX13-539901)/100),IF(BX13&gt;=1000000,38025+5.75*INT((BX13-999901)/100),"Check")))</f>
        <v>Check</v>
      </c>
      <c r="AH9" s="804" t="str">
        <f t="shared" si="2"/>
        <v>Check</v>
      </c>
      <c r="AI9" s="809" t="str">
        <f t="shared" si="2"/>
        <v>Check</v>
      </c>
      <c r="AJ9" s="806" t="str">
        <f t="shared" si="2"/>
        <v>Check</v>
      </c>
      <c r="AK9" s="134">
        <f t="shared" si="2"/>
        <v>1925</v>
      </c>
      <c r="AL9" s="134">
        <f t="shared" si="2"/>
        <v>3675</v>
      </c>
      <c r="AM9" s="94"/>
      <c r="AN9" s="135"/>
      <c r="AO9" s="135"/>
      <c r="AP9" s="135"/>
      <c r="AQ9" s="135"/>
      <c r="AR9" s="135"/>
      <c r="AS9" s="135"/>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
      <c r="BR9" s="1"/>
      <c r="BS9" s="1"/>
      <c r="BT9" s="1"/>
      <c r="BU9" s="1"/>
      <c r="BV9" s="1"/>
      <c r="BW9" s="1"/>
      <c r="BX9" s="1"/>
      <c r="BY9" s="1"/>
      <c r="BZ9" s="1"/>
      <c r="CA9" s="1"/>
      <c r="CB9" s="1"/>
      <c r="CC9" s="1"/>
      <c r="CD9" s="1"/>
      <c r="CE9" s="613">
        <f>+Funding!CI9</f>
        <v>85000</v>
      </c>
      <c r="CF9" s="613">
        <f>+Funding!CJ9</f>
        <v>160</v>
      </c>
      <c r="CG9" s="613">
        <f>+Funding!CK9</f>
        <v>0</v>
      </c>
      <c r="CH9" s="613">
        <f>+Funding!CL9</f>
        <v>430</v>
      </c>
      <c r="CI9" s="613"/>
      <c r="CJ9" s="613">
        <f>+Funding!CN9</f>
        <v>86</v>
      </c>
      <c r="CK9" s="225"/>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row>
    <row r="10" spans="1:150" s="1" customFormat="1" ht="18.75" customHeight="1" x14ac:dyDescent="0.25">
      <c r="A10" s="2431" t="s">
        <v>33</v>
      </c>
      <c r="B10" s="2431"/>
      <c r="C10" s="2431"/>
      <c r="D10" s="2431"/>
      <c r="E10" s="2431"/>
      <c r="F10" s="2431"/>
      <c r="G10" s="376"/>
      <c r="H10" s="65"/>
      <c r="I10" s="2487" t="str">
        <f>+L10</f>
        <v>NSW</v>
      </c>
      <c r="J10" s="2488"/>
      <c r="K10" s="2489"/>
      <c r="L10" s="2487" t="str">
        <f>+O10</f>
        <v>NSW</v>
      </c>
      <c r="M10" s="2488"/>
      <c r="N10" s="2488"/>
      <c r="O10" s="2521" t="str">
        <f>+Funding!E12</f>
        <v>NSW</v>
      </c>
      <c r="P10" s="2423"/>
      <c r="Q10" s="2522"/>
      <c r="R10" s="2488" t="str">
        <f>+O10</f>
        <v>NSW</v>
      </c>
      <c r="S10" s="2488"/>
      <c r="T10" s="2489"/>
      <c r="U10" s="2487" t="str">
        <f>+R10</f>
        <v>NSW</v>
      </c>
      <c r="V10" s="2488"/>
      <c r="W10" s="2489"/>
      <c r="X10" s="2487" t="str">
        <f>+U10</f>
        <v>NSW</v>
      </c>
      <c r="Y10" s="2488"/>
      <c r="Z10" s="2489"/>
      <c r="AA10" s="21"/>
      <c r="AC10" s="146"/>
      <c r="AD10" s="147" t="s">
        <v>43</v>
      </c>
      <c r="AE10" s="134" t="str">
        <f>+Settings!W7</f>
        <v>Varies</v>
      </c>
      <c r="AF10" s="134">
        <f>+Settings!X7</f>
        <v>157</v>
      </c>
      <c r="AG10" s="134" t="str">
        <f t="shared" ref="AG10:AL10" si="3">IF(AND(BX13&gt;=100000,BX13&lt;200000),2830+4*INT((BX13-99901)/100),IF(AND(BX13&gt;=200000,BX13&lt;250000),6830+4.5*INT((BX13-199901)/100),IF(AND(BX13&gt;=250000,BX13&lt;300000),8995+4.75*INT((BX13-249901)/100),IF(AND(BX13&gt;=300000,BX13&lt;500000),11330+5*INT((BX13-299901)/100),IF(BX13&gt;=500000,21330+5.5*INT((BX13-499901)/100),"Check")))))</f>
        <v>Check</v>
      </c>
      <c r="AH10" s="804" t="str">
        <f t="shared" si="3"/>
        <v>Check</v>
      </c>
      <c r="AI10" s="809" t="str">
        <f t="shared" si="3"/>
        <v>Check</v>
      </c>
      <c r="AJ10" s="806" t="str">
        <f t="shared" si="3"/>
        <v>Check</v>
      </c>
      <c r="AK10" s="134">
        <f t="shared" si="3"/>
        <v>2830</v>
      </c>
      <c r="AL10" s="134">
        <f t="shared" si="3"/>
        <v>4830</v>
      </c>
      <c r="AM10" s="94"/>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65"/>
      <c r="BR10" s="65"/>
      <c r="BS10" s="65"/>
      <c r="BT10" s="65"/>
      <c r="BU10" s="65"/>
      <c r="BV10" s="65"/>
      <c r="BW10" s="65"/>
      <c r="BX10" s="65"/>
      <c r="BY10" s="65"/>
      <c r="BZ10" s="65"/>
      <c r="CA10" s="65"/>
      <c r="CB10" s="65"/>
      <c r="CC10" s="65"/>
      <c r="CD10" s="65"/>
      <c r="CE10" s="613">
        <f>+Funding!CI10</f>
        <v>120000</v>
      </c>
      <c r="CF10" s="613">
        <f>+Funding!CJ10</f>
        <v>170</v>
      </c>
      <c r="CG10" s="613">
        <f>+Funding!CK10</f>
        <v>0</v>
      </c>
      <c r="CH10" s="613">
        <f>+Funding!CL10</f>
        <v>627</v>
      </c>
      <c r="CI10" s="613"/>
      <c r="CJ10" s="613">
        <f>+Funding!CN10</f>
        <v>197</v>
      </c>
      <c r="CK10" s="102"/>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row>
    <row r="11" spans="1:150" s="1" customFormat="1" ht="18.75" customHeight="1" x14ac:dyDescent="0.25">
      <c r="A11" s="2431" t="s">
        <v>38</v>
      </c>
      <c r="B11" s="2431"/>
      <c r="C11" s="2431"/>
      <c r="D11" s="2431"/>
      <c r="E11" s="2431"/>
      <c r="F11" s="2431"/>
      <c r="G11" s="2431"/>
      <c r="I11" s="1680" t="str">
        <f>LOOKUP(I10,$AD$7:AG13)</f>
        <v>NO DUTY</v>
      </c>
      <c r="J11" s="1681"/>
      <c r="K11" s="1682"/>
      <c r="L11" s="1680" t="str">
        <f>LOOKUP(L10,$AD$7:AH13)</f>
        <v>NO DUTY</v>
      </c>
      <c r="M11" s="1681"/>
      <c r="N11" s="1681"/>
      <c r="O11" s="2509" t="str">
        <f>LOOKUP(O10,$AD$7:AI13)</f>
        <v>NO DUTY</v>
      </c>
      <c r="P11" s="1681"/>
      <c r="Q11" s="2510"/>
      <c r="R11" s="1681" t="str">
        <f>LOOKUP(R10,$AD$7:AJ13)</f>
        <v>NO DUTY</v>
      </c>
      <c r="S11" s="1681"/>
      <c r="T11" s="1682"/>
      <c r="U11" s="1680">
        <f>LOOKUP(U10,AD7:AD14,AK7:AK14)</f>
        <v>1990</v>
      </c>
      <c r="V11" s="1681"/>
      <c r="W11" s="1682"/>
      <c r="X11" s="1680">
        <f>LOOKUP(X10,AD7:AD13,AL7:AL13)</f>
        <v>3740</v>
      </c>
      <c r="Y11" s="1681"/>
      <c r="Z11" s="1682"/>
      <c r="AA11" s="21"/>
      <c r="AC11" s="135"/>
      <c r="AD11" s="147" t="s">
        <v>44</v>
      </c>
      <c r="AE11" s="134">
        <f>+Settings!W8</f>
        <v>200</v>
      </c>
      <c r="AF11" s="134">
        <f>+Settings!X8</f>
        <v>131</v>
      </c>
      <c r="AG11" s="134" t="str">
        <f t="shared" ref="AG11:AL11" si="4">IF(AND(BX13&gt;=75000,BX13&lt;200000),1559+3.5*INT((BX13-79901)/100),IF(AND(BX13&gt;=200000,BX13&lt;375000),5934+4*INT((BX13-199901)/100),IF(AND(BX13&gt;=375000,BX13&lt;725000),12934+4.25*INT((BX13-374901)/100),IF(BX13&gt;=725000,27809+4.5*INT((BX13-724901)/100),"Check"))))</f>
        <v>Check</v>
      </c>
      <c r="AH11" s="134" t="str">
        <f t="shared" si="4"/>
        <v>Check</v>
      </c>
      <c r="AI11" s="809" t="str">
        <f t="shared" si="4"/>
        <v>Check</v>
      </c>
      <c r="AJ11" s="134" t="str">
        <f t="shared" si="4"/>
        <v>Check</v>
      </c>
      <c r="AK11" s="134">
        <f t="shared" si="4"/>
        <v>2259</v>
      </c>
      <c r="AL11" s="134">
        <f t="shared" si="4"/>
        <v>4009</v>
      </c>
      <c r="AM11" s="135"/>
      <c r="AN11" s="135"/>
      <c r="AO11" s="135"/>
      <c r="AP11" s="135"/>
      <c r="AQ11" s="135"/>
      <c r="AR11" s="135"/>
      <c r="AS11" s="135"/>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X11" s="817"/>
      <c r="BY11" s="818"/>
      <c r="BZ11" s="818" t="s">
        <v>253</v>
      </c>
      <c r="CA11" s="818"/>
      <c r="CB11" s="818"/>
      <c r="CC11" s="819"/>
      <c r="CE11" s="613">
        <f>+Funding!CI11</f>
        <v>200000</v>
      </c>
      <c r="CF11" s="613">
        <f>+Funding!CJ11</f>
        <v>190</v>
      </c>
      <c r="CG11" s="613">
        <f>+Funding!CK11</f>
        <v>0</v>
      </c>
      <c r="CH11" s="613">
        <f>+Funding!CL11</f>
        <v>873</v>
      </c>
      <c r="CI11" s="613"/>
      <c r="CJ11" s="613">
        <f>+Funding!CN11</f>
        <v>246</v>
      </c>
      <c r="CK11" s="102"/>
    </row>
    <row r="12" spans="1:150" s="1" customFormat="1" ht="18.75" customHeight="1" x14ac:dyDescent="0.25">
      <c r="A12" s="2431" t="s">
        <v>40</v>
      </c>
      <c r="B12" s="2431"/>
      <c r="C12" s="2431"/>
      <c r="D12" s="2431"/>
      <c r="E12" s="2431"/>
      <c r="F12" s="2431"/>
      <c r="G12" s="2431"/>
      <c r="H12" s="65"/>
      <c r="I12" s="1680">
        <f>LOOKUP(I10,$AD$7:$AF$13)</f>
        <v>136</v>
      </c>
      <c r="J12" s="1681"/>
      <c r="K12" s="1682"/>
      <c r="L12" s="1680">
        <f>LOOKUP(L10,$AD$7:$AF$13)</f>
        <v>136</v>
      </c>
      <c r="M12" s="1681"/>
      <c r="N12" s="1681"/>
      <c r="O12" s="2509">
        <f>LOOKUP(O10,$AD$7:$AF$13)</f>
        <v>136</v>
      </c>
      <c r="P12" s="1681"/>
      <c r="Q12" s="2510"/>
      <c r="R12" s="1681">
        <f>LOOKUP(R10,$AD$7:$AF$13)</f>
        <v>136</v>
      </c>
      <c r="S12" s="1681"/>
      <c r="T12" s="1682"/>
      <c r="U12" s="1681">
        <f>LOOKUP(U10,$AD$7:$AF$13)</f>
        <v>136</v>
      </c>
      <c r="V12" s="1681"/>
      <c r="W12" s="1682"/>
      <c r="X12" s="1680">
        <f>LOOKUP(X10,$AD$7:$AF$13)</f>
        <v>136</v>
      </c>
      <c r="Y12" s="1681"/>
      <c r="Z12" s="1682"/>
      <c r="AA12" s="21"/>
      <c r="AC12" s="135"/>
      <c r="AD12" s="147" t="s">
        <v>45</v>
      </c>
      <c r="AE12" s="134">
        <f>IF(AI5&lt;500000,131.6+INT(+BX13/1000)*2.46,1362)</f>
        <v>-114.4</v>
      </c>
      <c r="AF12" s="134">
        <f>+Settings!X9</f>
        <v>112.6</v>
      </c>
      <c r="AG12" s="134" t="str">
        <f t="shared" ref="AG12:AL12" si="5">IF(AND(BX13&gt;=0,BX13&lt;25000),0+INT(BX13*0.014),IF(AND(BX13&gt;=25000,BX13&lt;130000),350+INT((BX13-24999)*0.024),IF(AND(BX13&gt;=130000,BX13&lt;960000),2870+INT((BX13-129999)*0.06),IF(BX13&gt;=960000,INT((BX13)*0.05),"Check"))))</f>
        <v>Check</v>
      </c>
      <c r="AH12" s="804" t="str">
        <f t="shared" si="5"/>
        <v>Check</v>
      </c>
      <c r="AI12" s="809">
        <f t="shared" si="5"/>
        <v>0</v>
      </c>
      <c r="AJ12" s="806">
        <f t="shared" si="5"/>
        <v>950</v>
      </c>
      <c r="AK12" s="134">
        <f t="shared" si="5"/>
        <v>2150</v>
      </c>
      <c r="AL12" s="134">
        <f t="shared" si="5"/>
        <v>4070</v>
      </c>
      <c r="AM12" s="135"/>
      <c r="AN12" s="135"/>
      <c r="AO12" s="135"/>
      <c r="AP12" s="135"/>
      <c r="AQ12" s="135"/>
      <c r="AR12" s="135"/>
      <c r="AS12" s="135"/>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Z12" s="816"/>
      <c r="CE12" s="613">
        <f>+Funding!CI12</f>
        <v>300000</v>
      </c>
      <c r="CF12" s="613">
        <f>+Funding!CJ12</f>
        <v>210</v>
      </c>
      <c r="CG12" s="613">
        <f>+Funding!CK12</f>
        <v>0</v>
      </c>
      <c r="CH12" s="613">
        <f>+Funding!CL12</f>
        <v>1119</v>
      </c>
      <c r="CI12" s="613"/>
      <c r="CJ12" s="613">
        <f>+Funding!CN12</f>
        <v>246</v>
      </c>
    </row>
    <row r="13" spans="1:150" s="1" customFormat="1" ht="18.75" customHeight="1" x14ac:dyDescent="0.25">
      <c r="A13" s="2431" t="s">
        <v>213</v>
      </c>
      <c r="B13" s="2431"/>
      <c r="C13" s="2431"/>
      <c r="D13" s="2431"/>
      <c r="E13" s="2431"/>
      <c r="F13" s="2431"/>
      <c r="G13" s="2431"/>
      <c r="I13" s="1680">
        <f>LOOKUP(I10,$AD$7:$AE$13)</f>
        <v>272</v>
      </c>
      <c r="J13" s="1681"/>
      <c r="K13" s="1682"/>
      <c r="L13" s="1680">
        <f>LOOKUP(L10,$AD$7:$AE$13)</f>
        <v>272</v>
      </c>
      <c r="M13" s="1681"/>
      <c r="N13" s="1681"/>
      <c r="O13" s="2509">
        <f>LOOKUP(O10,$AD$7:$AE$13)</f>
        <v>272</v>
      </c>
      <c r="P13" s="1681"/>
      <c r="Q13" s="2510"/>
      <c r="R13" s="1681">
        <f>LOOKUP(R10,$AD$7:$AE$13)</f>
        <v>272</v>
      </c>
      <c r="S13" s="1681"/>
      <c r="T13" s="1682"/>
      <c r="U13" s="1680">
        <f>LOOKUP(U10,$AD$7:$AE$13)</f>
        <v>272</v>
      </c>
      <c r="V13" s="1681"/>
      <c r="W13" s="1682"/>
      <c r="X13" s="1680">
        <f>LOOKUP(X10,$AD$7:$AE$13)</f>
        <v>272</v>
      </c>
      <c r="Y13" s="1681"/>
      <c r="Z13" s="1682"/>
      <c r="AA13" s="21"/>
      <c r="AC13" s="135"/>
      <c r="AD13" s="147" t="s">
        <v>47</v>
      </c>
      <c r="AE13" s="134" t="str">
        <f>+Settings!W10</f>
        <v>Varies</v>
      </c>
      <c r="AF13" s="134">
        <f>+Settings!X10</f>
        <v>165.8</v>
      </c>
      <c r="AG13" s="134" t="str">
        <f t="shared" ref="AG13:AL13" si="6">IF(AND(BX13&gt;=0,BX13&lt;80000),1.9*INT((BX13)/100),IF(AND(BX13&gt;=80000,BX13&lt;100000),1520+2.85*INT((BX13-79901)/100),IF(AND(BX13&gt;=100000,BX13&lt;250000),2090+3.8*INT((BX13-99901)/100),IF(AND(BX13&gt;=250000,BX13&lt;500000),7790+4.75*INT((BX13-249901)/100),IF(BX13&gt;=500000,19665+5.15*INT((BX13-499901)/100),"Check")))))</f>
        <v>Check</v>
      </c>
      <c r="AH13" s="134" t="str">
        <f t="shared" si="6"/>
        <v>Check</v>
      </c>
      <c r="AI13" s="809">
        <f t="shared" si="6"/>
        <v>0</v>
      </c>
      <c r="AJ13" s="134">
        <f t="shared" si="6"/>
        <v>950</v>
      </c>
      <c r="AK13" s="134">
        <f t="shared" si="6"/>
        <v>2090</v>
      </c>
      <c r="AL13" s="134">
        <f t="shared" si="6"/>
        <v>3990</v>
      </c>
      <c r="AM13" s="135"/>
      <c r="AN13" s="135"/>
      <c r="AO13" s="135"/>
      <c r="AP13" s="135"/>
      <c r="AQ13" s="135"/>
      <c r="AR13" s="135"/>
      <c r="AS13" s="135"/>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X13" s="813">
        <f t="shared" ref="BX13:CC13" si="7">+AG5</f>
        <v>-100000</v>
      </c>
      <c r="BY13" s="813">
        <f t="shared" si="7"/>
        <v>-50000</v>
      </c>
      <c r="BZ13" s="814">
        <f t="shared" si="7"/>
        <v>0</v>
      </c>
      <c r="CA13" s="813">
        <f t="shared" si="7"/>
        <v>50000</v>
      </c>
      <c r="CB13" s="813">
        <f t="shared" si="7"/>
        <v>100000</v>
      </c>
      <c r="CC13" s="813">
        <f t="shared" si="7"/>
        <v>150000</v>
      </c>
      <c r="CD13" s="813"/>
      <c r="CE13" s="613">
        <f>+Funding!CI13</f>
        <v>400000</v>
      </c>
      <c r="CF13" s="613">
        <f>+Funding!CJ13</f>
        <v>230</v>
      </c>
      <c r="CG13" s="613">
        <f>+Funding!CK13</f>
        <v>0</v>
      </c>
      <c r="CH13" s="613">
        <f>+Funding!CL13</f>
        <v>1362</v>
      </c>
      <c r="CI13" s="613"/>
      <c r="CJ13" s="613">
        <f>+Funding!CN13</f>
        <v>243</v>
      </c>
      <c r="CK13" s="65"/>
      <c r="CL13" s="813"/>
      <c r="CM13" s="813"/>
    </row>
    <row r="14" spans="1:150" s="1" customFormat="1" ht="18.75" customHeight="1" thickBot="1" x14ac:dyDescent="0.3">
      <c r="A14" s="2431" t="s">
        <v>42</v>
      </c>
      <c r="B14" s="2431"/>
      <c r="C14" s="2431"/>
      <c r="D14" s="2431"/>
      <c r="E14" s="2431"/>
      <c r="F14" s="2431"/>
      <c r="G14" s="2431"/>
      <c r="H14" s="65"/>
      <c r="I14" s="1680">
        <f>+L14</f>
        <v>1650</v>
      </c>
      <c r="J14" s="1681"/>
      <c r="K14" s="1682"/>
      <c r="L14" s="1680">
        <f>+O14</f>
        <v>1650</v>
      </c>
      <c r="M14" s="1681"/>
      <c r="N14" s="1681"/>
      <c r="O14" s="2509">
        <f>+Funding!G20</f>
        <v>1650</v>
      </c>
      <c r="P14" s="1681"/>
      <c r="Q14" s="2510"/>
      <c r="R14" s="1681">
        <f>+O14</f>
        <v>1650</v>
      </c>
      <c r="S14" s="1681"/>
      <c r="T14" s="1682"/>
      <c r="U14" s="1680">
        <f>+R14</f>
        <v>1650</v>
      </c>
      <c r="V14" s="1681"/>
      <c r="W14" s="1682"/>
      <c r="X14" s="1680">
        <f>+U14</f>
        <v>1650</v>
      </c>
      <c r="Y14" s="1681"/>
      <c r="Z14" s="1682"/>
      <c r="AA14" s="21"/>
      <c r="AC14" s="135"/>
      <c r="AD14" s="147" t="s">
        <v>48</v>
      </c>
      <c r="AE14" s="134">
        <f>+Settings!W11</f>
        <v>142</v>
      </c>
      <c r="AF14" s="134">
        <f>+Settings!X11</f>
        <v>142</v>
      </c>
      <c r="AG14" s="134" t="str">
        <f t="shared" ref="AG14:AL14" si="8">IF(AND(BX13&gt;=0,BX13&lt;525000),(0.06571441*(INT(BX13/1000)*INT(BX13/1000))+(15*INT(BX13/1000))),IF(AND(BX13&gt;=525000,BX13&lt;3000000),4.95*INT((BX13)/100),IF(BX13&gt;=3000000,5.45*INT((BX13)/100),"Check")))</f>
        <v>Check</v>
      </c>
      <c r="AH14" s="134" t="str">
        <f t="shared" si="8"/>
        <v>Check</v>
      </c>
      <c r="AI14" s="809">
        <f t="shared" si="8"/>
        <v>0</v>
      </c>
      <c r="AJ14" s="134">
        <f t="shared" si="8"/>
        <v>914.286025</v>
      </c>
      <c r="AK14" s="134">
        <f t="shared" si="8"/>
        <v>2157.1441</v>
      </c>
      <c r="AL14" s="134">
        <f t="shared" si="8"/>
        <v>3728.5742250000003</v>
      </c>
      <c r="AM14" s="135"/>
      <c r="AN14" s="135"/>
      <c r="AO14" s="135"/>
      <c r="AP14" s="135"/>
      <c r="AQ14" s="135"/>
      <c r="AR14" s="135"/>
      <c r="AS14" s="135"/>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Z14" s="815"/>
      <c r="CE14" s="613">
        <f>+Funding!CI14</f>
        <v>500000</v>
      </c>
      <c r="CF14" s="613">
        <f>+Funding!CJ14</f>
        <v>250</v>
      </c>
      <c r="CG14" s="613">
        <f>+Funding!CK14</f>
        <v>0</v>
      </c>
      <c r="CH14" s="613">
        <f>+Funding!CL14</f>
        <v>0</v>
      </c>
      <c r="CI14" s="613"/>
      <c r="CJ14" s="613">
        <f>+Funding!CN14</f>
        <v>0</v>
      </c>
    </row>
    <row r="15" spans="1:150" s="1" customFormat="1" ht="18.75" customHeight="1" thickTop="1" x14ac:dyDescent="0.25">
      <c r="A15" s="2431" t="s">
        <v>207</v>
      </c>
      <c r="B15" s="2431"/>
      <c r="C15" s="2431"/>
      <c r="D15" s="2431"/>
      <c r="E15" s="2431"/>
      <c r="F15" s="2431"/>
      <c r="G15" s="2431"/>
      <c r="I15" s="1680">
        <f>+L15</f>
        <v>400</v>
      </c>
      <c r="J15" s="1681"/>
      <c r="K15" s="1682"/>
      <c r="L15" s="1680">
        <f>+O15</f>
        <v>400</v>
      </c>
      <c r="M15" s="1681"/>
      <c r="N15" s="1681"/>
      <c r="O15" s="2509">
        <f>+SUM(Funding!G21:I24)</f>
        <v>400</v>
      </c>
      <c r="P15" s="1681"/>
      <c r="Q15" s="2510"/>
      <c r="R15" s="1681">
        <f>+O15</f>
        <v>400</v>
      </c>
      <c r="S15" s="1681"/>
      <c r="T15" s="1682"/>
      <c r="U15" s="1680">
        <f>+R15</f>
        <v>400</v>
      </c>
      <c r="V15" s="1681"/>
      <c r="W15" s="1682"/>
      <c r="X15" s="1680">
        <f>+U15</f>
        <v>400</v>
      </c>
      <c r="Y15" s="1681"/>
      <c r="Z15" s="1682"/>
      <c r="AA15" s="21"/>
      <c r="AC15" s="135"/>
      <c r="AD15" s="135"/>
      <c r="AE15" s="135"/>
      <c r="AF15" s="135"/>
      <c r="AG15" s="135"/>
      <c r="AH15" s="135"/>
      <c r="AI15" s="810"/>
      <c r="AJ15" s="135"/>
      <c r="AK15" s="135"/>
      <c r="AL15" s="135"/>
      <c r="AM15" s="135"/>
      <c r="AN15" s="135"/>
      <c r="AO15" s="135"/>
      <c r="AP15" s="135"/>
      <c r="AQ15" s="135"/>
      <c r="AR15" s="135"/>
      <c r="AS15" s="135"/>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CE15" s="613">
        <f>+Funding!CI15</f>
        <v>600000</v>
      </c>
      <c r="CF15" s="613">
        <f>+Funding!CJ15</f>
        <v>270</v>
      </c>
      <c r="CG15" s="613">
        <f>+Funding!CK15</f>
        <v>0</v>
      </c>
      <c r="CH15" s="613">
        <f>+Funding!CL15</f>
        <v>0</v>
      </c>
      <c r="CI15" s="613"/>
      <c r="CJ15" s="613">
        <f>+Funding!CN15</f>
        <v>0</v>
      </c>
      <c r="CK15" s="65"/>
    </row>
    <row r="16" spans="1:150" s="1" customFormat="1" ht="18.75" customHeight="1" x14ac:dyDescent="0.25">
      <c r="A16" s="2431" t="s">
        <v>212</v>
      </c>
      <c r="B16" s="2431"/>
      <c r="C16" s="2431"/>
      <c r="D16" s="2431"/>
      <c r="E16" s="2431"/>
      <c r="F16" s="2431"/>
      <c r="G16" s="2431"/>
      <c r="I16" s="1680"/>
      <c r="J16" s="1681"/>
      <c r="K16" s="1682"/>
      <c r="L16" s="1680"/>
      <c r="M16" s="1681"/>
      <c r="N16" s="1681"/>
      <c r="O16" s="2509">
        <f>+Funding!G25</f>
        <v>0</v>
      </c>
      <c r="P16" s="1681"/>
      <c r="Q16" s="2510"/>
      <c r="R16" s="1681"/>
      <c r="S16" s="1681"/>
      <c r="T16" s="1682"/>
      <c r="U16" s="1680"/>
      <c r="V16" s="1681"/>
      <c r="W16" s="1682"/>
      <c r="X16" s="1680"/>
      <c r="Y16" s="1681"/>
      <c r="Z16" s="1682"/>
      <c r="AA16" s="51"/>
      <c r="AC16" s="135"/>
      <c r="AD16" s="872"/>
      <c r="AE16" s="132"/>
      <c r="AF16" s="132"/>
      <c r="AG16" s="145">
        <f t="shared" ref="AG16:AL16" si="9">+AG5</f>
        <v>-100000</v>
      </c>
      <c r="AH16" s="145">
        <f t="shared" si="9"/>
        <v>-50000</v>
      </c>
      <c r="AI16" s="811">
        <f t="shared" si="9"/>
        <v>0</v>
      </c>
      <c r="AJ16" s="145">
        <f t="shared" si="9"/>
        <v>50000</v>
      </c>
      <c r="AK16" s="145">
        <f t="shared" si="9"/>
        <v>100000</v>
      </c>
      <c r="AL16" s="145">
        <f t="shared" si="9"/>
        <v>150000</v>
      </c>
      <c r="AM16" s="135"/>
      <c r="AN16" s="135"/>
      <c r="AO16" s="135"/>
      <c r="AP16" s="135"/>
      <c r="AQ16" s="135"/>
      <c r="AR16" s="135"/>
      <c r="AS16" s="135"/>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CE16" s="613">
        <f>+Funding!CI16</f>
        <v>700000</v>
      </c>
      <c r="CF16" s="613">
        <f>+Funding!CJ16</f>
        <v>290</v>
      </c>
      <c r="CG16" s="613">
        <f>+Funding!CK16</f>
        <v>0</v>
      </c>
      <c r="CH16" s="613">
        <f>+Funding!CL16</f>
        <v>0</v>
      </c>
      <c r="CI16" s="613"/>
      <c r="CJ16" s="613">
        <f>+Funding!CN16</f>
        <v>0</v>
      </c>
    </row>
    <row r="17" spans="1:88" s="1" customFormat="1" ht="18.75" customHeight="1" x14ac:dyDescent="0.25">
      <c r="A17" s="2476" t="s">
        <v>214</v>
      </c>
      <c r="B17" s="2476"/>
      <c r="C17" s="2476"/>
      <c r="D17" s="2476"/>
      <c r="E17" s="2476"/>
      <c r="F17" s="2476"/>
      <c r="G17" s="2476"/>
      <c r="I17" s="1787">
        <f>SUM(I9:K16)</f>
        <v>-97542</v>
      </c>
      <c r="J17" s="1787"/>
      <c r="K17" s="1787"/>
      <c r="L17" s="1787">
        <f>SUM(L9:N16)</f>
        <v>-47542</v>
      </c>
      <c r="M17" s="1787"/>
      <c r="N17" s="2491"/>
      <c r="O17" s="2523">
        <f>SUM(O9:Q16)</f>
        <v>2458</v>
      </c>
      <c r="P17" s="1787"/>
      <c r="Q17" s="2524"/>
      <c r="R17" s="2494">
        <f>SUM(R9:T16)</f>
        <v>52458</v>
      </c>
      <c r="S17" s="1787"/>
      <c r="T17" s="1787"/>
      <c r="U17" s="1787">
        <f>SUM(U9:W16)</f>
        <v>104448</v>
      </c>
      <c r="V17" s="1787"/>
      <c r="W17" s="1787"/>
      <c r="X17" s="1787">
        <f>SUM(X9:Z16)</f>
        <v>156198</v>
      </c>
      <c r="Y17" s="1787"/>
      <c r="Z17" s="1787"/>
      <c r="AA17" s="51"/>
      <c r="AC17" s="131"/>
      <c r="AD17" s="872"/>
      <c r="AE17" s="132"/>
      <c r="AF17" s="711"/>
      <c r="AG17" s="711" t="s">
        <v>35</v>
      </c>
      <c r="AH17" s="803" t="s">
        <v>35</v>
      </c>
      <c r="AI17" s="808" t="s">
        <v>35</v>
      </c>
      <c r="AJ17" s="805" t="s">
        <v>35</v>
      </c>
      <c r="AK17" s="711" t="s">
        <v>35</v>
      </c>
      <c r="AL17" s="711" t="s">
        <v>35</v>
      </c>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CE17" s="613">
        <f>+Funding!CI17</f>
        <v>800000</v>
      </c>
      <c r="CF17" s="613">
        <f>+Funding!CJ17</f>
        <v>310</v>
      </c>
      <c r="CG17" s="613">
        <f>+Funding!CK17</f>
        <v>0</v>
      </c>
      <c r="CH17" s="613">
        <f>+Funding!CL17</f>
        <v>0</v>
      </c>
      <c r="CI17" s="613"/>
      <c r="CJ17" s="613">
        <f>+Funding!CN17</f>
        <v>0</v>
      </c>
    </row>
    <row r="18" spans="1:88" s="1" customFormat="1" ht="18.75" customHeight="1" thickBot="1" x14ac:dyDescent="0.3">
      <c r="A18" s="2431"/>
      <c r="B18" s="2431"/>
      <c r="C18" s="2431"/>
      <c r="D18" s="2431"/>
      <c r="E18" s="2431"/>
      <c r="F18" s="2431"/>
      <c r="G18" s="2431"/>
      <c r="O18" s="377"/>
      <c r="P18" s="73"/>
      <c r="Q18" s="378"/>
      <c r="AA18" s="51"/>
      <c r="AC18" s="131"/>
      <c r="AD18" s="872"/>
      <c r="AE18" s="132"/>
      <c r="AF18" s="147" t="s">
        <v>39</v>
      </c>
      <c r="AG18" s="134">
        <f>+Settings!$W$4</f>
        <v>262</v>
      </c>
      <c r="AH18" s="804">
        <f>+Settings!$W$4</f>
        <v>262</v>
      </c>
      <c r="AI18" s="809">
        <f>+Settings!$W$4</f>
        <v>262</v>
      </c>
      <c r="AJ18" s="806">
        <f>+Settings!$W$4</f>
        <v>262</v>
      </c>
      <c r="AK18" s="134">
        <f>+Settings!$W$4</f>
        <v>262</v>
      </c>
      <c r="AL18" s="134">
        <f>+Settings!$W$4</f>
        <v>262</v>
      </c>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CE18" s="613">
        <f>+Funding!CI18</f>
        <v>900000</v>
      </c>
      <c r="CF18" s="613">
        <f>+Funding!CJ18</f>
        <v>330</v>
      </c>
      <c r="CG18" s="613">
        <f>+Funding!CK18</f>
        <v>0</v>
      </c>
      <c r="CH18" s="613">
        <f>+Funding!CL18</f>
        <v>0</v>
      </c>
      <c r="CI18" s="613"/>
      <c r="CJ18" s="613">
        <f>+Funding!CN18</f>
        <v>0</v>
      </c>
    </row>
    <row r="19" spans="1:88" s="1" customFormat="1" ht="18.75" customHeight="1" thickBot="1" x14ac:dyDescent="0.3">
      <c r="A19" s="2476" t="s">
        <v>50</v>
      </c>
      <c r="B19" s="2476"/>
      <c r="C19" s="2476"/>
      <c r="D19" s="2476"/>
      <c r="E19" s="2476"/>
      <c r="F19" s="2476"/>
      <c r="G19" s="2476"/>
      <c r="H19" s="381"/>
      <c r="I19" s="2530" t="e">
        <f>+L19</f>
        <v>#VALUE!</v>
      </c>
      <c r="J19" s="2530"/>
      <c r="K19" s="2531"/>
      <c r="L19" s="2530" t="e">
        <f>+O19</f>
        <v>#VALUE!</v>
      </c>
      <c r="M19" s="2530"/>
      <c r="N19" s="2531"/>
      <c r="O19" s="2532" t="e">
        <f>+'Bud(LVR)'!O21:Q21</f>
        <v>#VALUE!</v>
      </c>
      <c r="P19" s="2533"/>
      <c r="Q19" s="2534"/>
      <c r="R19" s="2535" t="e">
        <f>+O19</f>
        <v>#VALUE!</v>
      </c>
      <c r="S19" s="2530"/>
      <c r="T19" s="2530"/>
      <c r="U19" s="2535" t="e">
        <f>+R19</f>
        <v>#VALUE!</v>
      </c>
      <c r="V19" s="2530"/>
      <c r="W19" s="2530"/>
      <c r="X19" s="2535" t="e">
        <f>+U19</f>
        <v>#VALUE!</v>
      </c>
      <c r="Y19" s="2530"/>
      <c r="Z19" s="2530"/>
      <c r="AA19" s="382"/>
      <c r="AC19" s="131"/>
      <c r="AD19" s="872"/>
      <c r="AE19" s="132"/>
      <c r="AF19" s="147" t="s">
        <v>34</v>
      </c>
      <c r="AG19" s="134">
        <f>+Settings!$W$5</f>
        <v>272</v>
      </c>
      <c r="AH19" s="804">
        <f>+Settings!$W$5</f>
        <v>272</v>
      </c>
      <c r="AI19" s="809">
        <f>+Settings!$W$5</f>
        <v>272</v>
      </c>
      <c r="AJ19" s="806">
        <f>+Settings!$W$5</f>
        <v>272</v>
      </c>
      <c r="AK19" s="134">
        <f>+Settings!$W$5</f>
        <v>272</v>
      </c>
      <c r="AL19" s="134">
        <f>+Settings!$W$5</f>
        <v>272</v>
      </c>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CE19" s="613">
        <f>+Funding!CI19</f>
        <v>1000000</v>
      </c>
      <c r="CF19" s="613">
        <f>+Funding!CJ19</f>
        <v>350</v>
      </c>
      <c r="CG19" s="613">
        <f>+Funding!CK19</f>
        <v>0</v>
      </c>
      <c r="CH19" s="613">
        <f>+Funding!CL19</f>
        <v>0</v>
      </c>
      <c r="CI19" s="613"/>
      <c r="CJ19" s="613">
        <f>+Funding!CN19</f>
        <v>0</v>
      </c>
    </row>
    <row r="20" spans="1:88" s="1" customFormat="1" ht="18.75" customHeight="1" x14ac:dyDescent="0.25">
      <c r="A20" s="2431" t="s">
        <v>49</v>
      </c>
      <c r="B20" s="2431"/>
      <c r="C20" s="2431"/>
      <c r="D20" s="2431"/>
      <c r="E20" s="2431"/>
      <c r="F20" s="2431"/>
      <c r="G20" s="2431"/>
      <c r="I20" s="2459" t="e">
        <f>+I17-I19</f>
        <v>#VALUE!</v>
      </c>
      <c r="J20" s="2459"/>
      <c r="K20" s="2459"/>
      <c r="L20" s="2459" t="e">
        <f>+L17-L19</f>
        <v>#VALUE!</v>
      </c>
      <c r="M20" s="2459"/>
      <c r="N20" s="2460"/>
      <c r="O20" s="2536" t="e">
        <f>+O17-O19</f>
        <v>#VALUE!</v>
      </c>
      <c r="P20" s="2459"/>
      <c r="Q20" s="2537"/>
      <c r="R20" s="2464" t="e">
        <f>+R17-R19</f>
        <v>#VALUE!</v>
      </c>
      <c r="S20" s="2459"/>
      <c r="T20" s="2459"/>
      <c r="U20" s="2464" t="e">
        <f>+U17-U19</f>
        <v>#VALUE!</v>
      </c>
      <c r="V20" s="2459"/>
      <c r="W20" s="2459"/>
      <c r="X20" s="2464" t="e">
        <f>+X17-X19</f>
        <v>#VALUE!</v>
      </c>
      <c r="Y20" s="2459"/>
      <c r="Z20" s="2459"/>
      <c r="AA20" s="51"/>
      <c r="AC20" s="131"/>
      <c r="AD20" s="872"/>
      <c r="AE20" s="132"/>
      <c r="AF20" s="147" t="s">
        <v>41</v>
      </c>
      <c r="AG20" s="134" t="s">
        <v>618</v>
      </c>
      <c r="AH20" s="804" t="s">
        <v>618</v>
      </c>
      <c r="AI20" s="809" t="s">
        <v>618</v>
      </c>
      <c r="AJ20" s="806" t="s">
        <v>618</v>
      </c>
      <c r="AK20" s="134" t="s">
        <v>618</v>
      </c>
      <c r="AL20" s="134" t="s">
        <v>618</v>
      </c>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CE20" s="613">
        <f>+Funding!CI20</f>
        <v>1100000</v>
      </c>
      <c r="CF20" s="613">
        <f>+Funding!CJ20</f>
        <v>370</v>
      </c>
      <c r="CG20" s="613">
        <f>+Funding!CK20</f>
        <v>0</v>
      </c>
      <c r="CH20" s="613">
        <f>+Funding!CL20</f>
        <v>0</v>
      </c>
      <c r="CI20" s="613"/>
      <c r="CJ20" s="613">
        <f>+Funding!CN20</f>
        <v>0</v>
      </c>
    </row>
    <row r="21" spans="1:88" s="1" customFormat="1" ht="18.75" customHeight="1" x14ac:dyDescent="0.25">
      <c r="A21" s="2431" t="s">
        <v>54</v>
      </c>
      <c r="B21" s="2431"/>
      <c r="C21" s="2431"/>
      <c r="D21" s="2431"/>
      <c r="E21" s="2431"/>
      <c r="F21" s="2431"/>
      <c r="G21" s="2431"/>
      <c r="I21" s="2525" t="e">
        <f>+I20/I9</f>
        <v>#VALUE!</v>
      </c>
      <c r="J21" s="2525"/>
      <c r="K21" s="2525"/>
      <c r="L21" s="2525" t="e">
        <f>+L20/L9</f>
        <v>#VALUE!</v>
      </c>
      <c r="M21" s="2525"/>
      <c r="N21" s="2526"/>
      <c r="O21" s="2527" t="e">
        <f>+O20/O9</f>
        <v>#VALUE!</v>
      </c>
      <c r="P21" s="2525"/>
      <c r="Q21" s="2528"/>
      <c r="R21" s="2529" t="e">
        <f>+R20/R9</f>
        <v>#VALUE!</v>
      </c>
      <c r="S21" s="2525"/>
      <c r="T21" s="2525"/>
      <c r="U21" s="2525" t="e">
        <f>+U20/U9</f>
        <v>#VALUE!</v>
      </c>
      <c r="V21" s="2525"/>
      <c r="W21" s="2525"/>
      <c r="X21" s="2525" t="e">
        <f>+X20/X9</f>
        <v>#VALUE!</v>
      </c>
      <c r="Y21" s="2525"/>
      <c r="Z21" s="2525"/>
      <c r="AA21" s="51"/>
      <c r="AC21" s="131"/>
      <c r="AD21" s="872"/>
      <c r="AE21" s="132"/>
      <c r="AF21" s="147" t="s">
        <v>43</v>
      </c>
      <c r="AG21" s="134" t="s">
        <v>618</v>
      </c>
      <c r="AH21" s="804" t="s">
        <v>618</v>
      </c>
      <c r="AI21" s="809" t="s">
        <v>618</v>
      </c>
      <c r="AJ21" s="806" t="s">
        <v>618</v>
      </c>
      <c r="AK21" s="134" t="s">
        <v>618</v>
      </c>
      <c r="AL21" s="134" t="s">
        <v>618</v>
      </c>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CE21" s="613">
        <f>+Funding!CI21</f>
        <v>1200000</v>
      </c>
      <c r="CF21" s="613">
        <f>+Funding!CJ21</f>
        <v>390</v>
      </c>
      <c r="CG21" s="613">
        <f>+Funding!CK21</f>
        <v>0</v>
      </c>
      <c r="CH21" s="613">
        <f>+Funding!CL21</f>
        <v>0</v>
      </c>
      <c r="CI21" s="613"/>
      <c r="CJ21" s="613">
        <f>+Funding!CN21</f>
        <v>0</v>
      </c>
    </row>
    <row r="22" spans="1:88" s="1" customFormat="1" ht="18.75" customHeight="1" x14ac:dyDescent="0.25">
      <c r="A22" s="2431"/>
      <c r="B22" s="2431"/>
      <c r="C22" s="2431"/>
      <c r="D22" s="2431"/>
      <c r="E22" s="2431"/>
      <c r="F22" s="2431"/>
      <c r="G22" s="2431"/>
      <c r="I22" s="7"/>
      <c r="J22" s="71"/>
      <c r="K22" s="71"/>
      <c r="L22" s="7"/>
      <c r="M22" s="72"/>
      <c r="N22" s="72"/>
      <c r="O22" s="379"/>
      <c r="P22" s="374"/>
      <c r="Q22" s="380"/>
      <c r="R22" s="55"/>
      <c r="S22" s="55"/>
      <c r="T22" s="56"/>
      <c r="U22" s="71"/>
      <c r="V22" s="71"/>
      <c r="W22" s="71"/>
      <c r="X22" s="71"/>
      <c r="Y22" s="71"/>
      <c r="Z22" s="71"/>
      <c r="AA22" s="51"/>
      <c r="AC22" s="131"/>
      <c r="AD22" s="872"/>
      <c r="AE22" s="132"/>
      <c r="AF22" s="147" t="s">
        <v>44</v>
      </c>
      <c r="AG22" s="134">
        <f>+Settings!$W$8</f>
        <v>200</v>
      </c>
      <c r="AH22" s="804">
        <f>+Settings!$W$8</f>
        <v>200</v>
      </c>
      <c r="AI22" s="809">
        <f>+Settings!$W$8</f>
        <v>200</v>
      </c>
      <c r="AJ22" s="806">
        <f>+Settings!$W$8</f>
        <v>200</v>
      </c>
      <c r="AK22" s="134">
        <f>+Settings!$W$8</f>
        <v>200</v>
      </c>
      <c r="AL22" s="134">
        <f>+Settings!$W$8</f>
        <v>200</v>
      </c>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CE22" s="613">
        <f>+Funding!CI22</f>
        <v>1300000</v>
      </c>
      <c r="CF22" s="613">
        <f>+Funding!CJ22</f>
        <v>410</v>
      </c>
      <c r="CG22" s="613">
        <f>+Funding!CK22</f>
        <v>0</v>
      </c>
      <c r="CH22" s="613">
        <f>+Funding!CL22</f>
        <v>0</v>
      </c>
      <c r="CI22" s="613"/>
      <c r="CJ22" s="613">
        <f>+Funding!CN22</f>
        <v>0</v>
      </c>
    </row>
    <row r="23" spans="1:88" s="1" customFormat="1" ht="18.75" customHeight="1" x14ac:dyDescent="0.25">
      <c r="A23" s="2431" t="s">
        <v>51</v>
      </c>
      <c r="B23" s="2431"/>
      <c r="C23" s="2431"/>
      <c r="D23" s="2431"/>
      <c r="E23" s="2431"/>
      <c r="F23" s="2431"/>
      <c r="G23" s="2431"/>
      <c r="I23" s="2468">
        <f>+L23</f>
        <v>0.04</v>
      </c>
      <c r="J23" s="2468"/>
      <c r="K23" s="2469"/>
      <c r="L23" s="2468">
        <f>+O23</f>
        <v>0.04</v>
      </c>
      <c r="M23" s="2468"/>
      <c r="N23" s="2469"/>
      <c r="O23" s="2538">
        <f>+Funding!E30</f>
        <v>0.04</v>
      </c>
      <c r="P23" s="2468"/>
      <c r="Q23" s="2539"/>
      <c r="R23" s="2480">
        <f>+O23</f>
        <v>0.04</v>
      </c>
      <c r="S23" s="2468"/>
      <c r="T23" s="2468"/>
      <c r="U23" s="2468">
        <f>+R23</f>
        <v>0.04</v>
      </c>
      <c r="V23" s="2468"/>
      <c r="W23" s="2468"/>
      <c r="X23" s="2468">
        <f>+U23</f>
        <v>0.04</v>
      </c>
      <c r="Y23" s="2468"/>
      <c r="Z23" s="2468"/>
      <c r="AA23" s="51"/>
      <c r="AC23" s="131"/>
      <c r="AD23" s="872"/>
      <c r="AE23" s="132"/>
      <c r="AF23" s="147" t="s">
        <v>45</v>
      </c>
      <c r="AG23" s="134">
        <f t="shared" ref="AG23:AL23" si="10">IF(AG16&lt;500000,131.6+INT(+AG16/1000)*2.46,1362)</f>
        <v>-114.4</v>
      </c>
      <c r="AH23" s="804">
        <f t="shared" si="10"/>
        <v>8.5999999999999943</v>
      </c>
      <c r="AI23" s="809">
        <f t="shared" si="10"/>
        <v>131.6</v>
      </c>
      <c r="AJ23" s="806">
        <f t="shared" si="10"/>
        <v>254.6</v>
      </c>
      <c r="AK23" s="134">
        <f t="shared" si="10"/>
        <v>377.6</v>
      </c>
      <c r="AL23" s="134">
        <f t="shared" si="10"/>
        <v>500.6</v>
      </c>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CE23" s="613">
        <f>+Funding!CI23</f>
        <v>1400000</v>
      </c>
      <c r="CF23" s="613">
        <f>+Funding!CJ23</f>
        <v>430</v>
      </c>
      <c r="CG23" s="613">
        <f>+Funding!CK23</f>
        <v>0</v>
      </c>
      <c r="CH23" s="613">
        <f>+Funding!CL23</f>
        <v>0</v>
      </c>
      <c r="CI23" s="613"/>
      <c r="CJ23" s="613">
        <f>+Funding!CN23</f>
        <v>0</v>
      </c>
    </row>
    <row r="24" spans="1:88" s="1" customFormat="1" ht="18.75" customHeight="1" x14ac:dyDescent="0.25">
      <c r="A24" s="2431" t="s">
        <v>233</v>
      </c>
      <c r="B24" s="2431"/>
      <c r="C24" s="2431"/>
      <c r="D24" s="2431"/>
      <c r="E24" s="2431"/>
      <c r="F24" s="2431"/>
      <c r="G24" s="2431"/>
      <c r="I24" s="2458" t="e">
        <f>+I20*I23/12</f>
        <v>#VALUE!</v>
      </c>
      <c r="J24" s="2458"/>
      <c r="K24" s="2458"/>
      <c r="L24" s="2458" t="e">
        <f>+L20*L23/12</f>
        <v>#VALUE!</v>
      </c>
      <c r="M24" s="2458"/>
      <c r="N24" s="2461"/>
      <c r="O24" s="2506" t="e">
        <f>+O20*O23/12</f>
        <v>#VALUE!</v>
      </c>
      <c r="P24" s="2458"/>
      <c r="Q24" s="2507"/>
      <c r="R24" s="2467" t="e">
        <f>+R20*R23/12</f>
        <v>#VALUE!</v>
      </c>
      <c r="S24" s="2458"/>
      <c r="T24" s="2458"/>
      <c r="U24" s="2458" t="e">
        <f>+U20*U23/12</f>
        <v>#VALUE!</v>
      </c>
      <c r="V24" s="2458"/>
      <c r="W24" s="2458"/>
      <c r="X24" s="2458" t="e">
        <f>+X20*X23/12</f>
        <v>#VALUE!</v>
      </c>
      <c r="Y24" s="2458"/>
      <c r="Z24" s="2458"/>
      <c r="AA24" s="51"/>
      <c r="AC24" s="131"/>
      <c r="AD24" s="872"/>
      <c r="AE24" s="132"/>
      <c r="AF24" s="147" t="s">
        <v>47</v>
      </c>
      <c r="AG24" s="134" t="s">
        <v>618</v>
      </c>
      <c r="AH24" s="804" t="s">
        <v>618</v>
      </c>
      <c r="AI24" s="809" t="s">
        <v>618</v>
      </c>
      <c r="AJ24" s="806" t="s">
        <v>618</v>
      </c>
      <c r="AK24" s="134" t="s">
        <v>618</v>
      </c>
      <c r="AL24" s="134" t="s">
        <v>618</v>
      </c>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CE24" s="613">
        <f>+Funding!CI24</f>
        <v>0</v>
      </c>
      <c r="CF24" s="613">
        <f>+Funding!CJ24</f>
        <v>0</v>
      </c>
      <c r="CG24" s="613">
        <f>+Funding!CK24</f>
        <v>0</v>
      </c>
      <c r="CH24" s="613">
        <f>+Funding!CL24</f>
        <v>0</v>
      </c>
      <c r="CI24" s="613"/>
      <c r="CJ24" s="613">
        <f>+Funding!CN24</f>
        <v>0</v>
      </c>
    </row>
    <row r="25" spans="1:88" s="1" customFormat="1" ht="18.75" customHeight="1" x14ac:dyDescent="0.25">
      <c r="A25" s="2431" t="str">
        <f>CONCATENATE("Instalment pm – P&amp;I (",+O26,"y)")</f>
        <v>Instalment pm – P&amp;I (30y)</v>
      </c>
      <c r="B25" s="2431"/>
      <c r="C25" s="2431"/>
      <c r="D25" s="2431"/>
      <c r="E25" s="2431"/>
      <c r="F25" s="2431"/>
      <c r="G25" s="2431"/>
      <c r="I25" s="2458" t="e">
        <f>PMT(I23/12,+O26*12,-I20)</f>
        <v>#VALUE!</v>
      </c>
      <c r="J25" s="2458"/>
      <c r="K25" s="2458"/>
      <c r="L25" s="2458" t="e">
        <f>PMT(L23/12,+O26*12,-L20)</f>
        <v>#VALUE!</v>
      </c>
      <c r="M25" s="2458"/>
      <c r="N25" s="2461"/>
      <c r="O25" s="2506" t="e">
        <f>PMT(O23/12,+O26*12,-O20)</f>
        <v>#VALUE!</v>
      </c>
      <c r="P25" s="2458"/>
      <c r="Q25" s="2507"/>
      <c r="R25" s="2467" t="e">
        <f>PMT(R23/12,+O26*12,-R20)</f>
        <v>#VALUE!</v>
      </c>
      <c r="S25" s="2458"/>
      <c r="T25" s="2458"/>
      <c r="U25" s="2458" t="e">
        <f>PMT(U23/12,+O26*12,-U20)</f>
        <v>#VALUE!</v>
      </c>
      <c r="V25" s="2458"/>
      <c r="W25" s="2458"/>
      <c r="X25" s="2458" t="e">
        <f>PMT(X23/12,+O26*12,-X20)</f>
        <v>#VALUE!</v>
      </c>
      <c r="Y25" s="2458"/>
      <c r="Z25" s="2458"/>
      <c r="AA25" s="51"/>
      <c r="AC25" s="131"/>
      <c r="AD25" s="872"/>
      <c r="AE25" s="132"/>
      <c r="AF25" s="147" t="s">
        <v>48</v>
      </c>
      <c r="AG25" s="134">
        <f>+Settings!$W$11</f>
        <v>142</v>
      </c>
      <c r="AH25" s="804">
        <f>+Settings!$W$11</f>
        <v>142</v>
      </c>
      <c r="AI25" s="809">
        <f>+Settings!$W$11</f>
        <v>142</v>
      </c>
      <c r="AJ25" s="806">
        <f>+Settings!$W$11</f>
        <v>142</v>
      </c>
      <c r="AK25" s="134">
        <f>+Settings!$W$11</f>
        <v>142</v>
      </c>
      <c r="AL25" s="134">
        <f>+Settings!$W$11</f>
        <v>142</v>
      </c>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CE25" s="613">
        <f>+Funding!CI25</f>
        <v>1500000</v>
      </c>
      <c r="CF25" s="613">
        <f>+Funding!CJ25</f>
        <v>450</v>
      </c>
      <c r="CG25" s="613">
        <f>+Funding!CK25</f>
        <v>0</v>
      </c>
      <c r="CH25" s="613">
        <f>+Funding!CL25</f>
        <v>0</v>
      </c>
      <c r="CI25" s="613"/>
      <c r="CJ25" s="613">
        <f>+Funding!CN25</f>
        <v>0</v>
      </c>
    </row>
    <row r="26" spans="1:88" s="1" customFormat="1" ht="18.75" customHeight="1" thickBot="1" x14ac:dyDescent="0.3">
      <c r="A26" s="2540"/>
      <c r="B26" s="2540"/>
      <c r="C26" s="2540"/>
      <c r="D26" s="2540"/>
      <c r="E26" s="2540"/>
      <c r="F26" s="2540"/>
      <c r="G26" s="2540"/>
      <c r="I26" s="2473"/>
      <c r="J26" s="2473"/>
      <c r="K26" s="2473"/>
      <c r="L26" s="2444" t="s">
        <v>275</v>
      </c>
      <c r="M26" s="2444"/>
      <c r="N26" s="2444"/>
      <c r="O26" s="2501">
        <f>+Funding!K31</f>
        <v>30</v>
      </c>
      <c r="P26" s="2502"/>
      <c r="Q26" s="2503"/>
      <c r="R26" s="2448" t="s">
        <v>274</v>
      </c>
      <c r="S26" s="2448"/>
      <c r="T26" s="2448"/>
      <c r="U26" s="2473"/>
      <c r="V26" s="2473"/>
      <c r="W26" s="2473"/>
      <c r="X26" s="2473"/>
      <c r="Y26" s="2473"/>
      <c r="Z26" s="2473"/>
      <c r="AA26" s="51"/>
      <c r="AC26" s="131"/>
      <c r="AD26" s="872"/>
      <c r="AE26" s="132"/>
      <c r="AF26" s="131"/>
      <c r="AG26" s="131"/>
      <c r="AH26" s="131"/>
      <c r="AI26" s="812"/>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CE26" s="613">
        <f>+Funding!CI26</f>
        <v>1600000</v>
      </c>
      <c r="CF26" s="613">
        <f>+Funding!CJ26</f>
        <v>470</v>
      </c>
      <c r="CG26" s="613">
        <f>+Funding!CK26</f>
        <v>0</v>
      </c>
      <c r="CH26" s="613">
        <f>+Funding!CL26</f>
        <v>0</v>
      </c>
      <c r="CI26" s="613"/>
      <c r="CJ26" s="613">
        <f>+Funding!CN26</f>
        <v>0</v>
      </c>
    </row>
    <row r="27" spans="1:88" s="1" customFormat="1" ht="18.75" customHeight="1" thickTop="1" x14ac:dyDescent="0.25">
      <c r="A27" s="2540"/>
      <c r="B27" s="2540"/>
      <c r="C27" s="2540"/>
      <c r="D27" s="2540"/>
      <c r="E27" s="2540"/>
      <c r="F27" s="2540"/>
      <c r="G27" s="2540"/>
      <c r="J27" s="51"/>
      <c r="K27" s="70"/>
      <c r="AA27" s="5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CE27" s="613">
        <f>+Funding!CI27</f>
        <v>1700000</v>
      </c>
      <c r="CF27" s="613">
        <f>+Funding!CJ27</f>
        <v>490</v>
      </c>
      <c r="CG27" s="613">
        <f>+Funding!CK27</f>
        <v>0</v>
      </c>
      <c r="CH27" s="613">
        <f>+Funding!CL27</f>
        <v>0</v>
      </c>
      <c r="CI27" s="613"/>
      <c r="CJ27" s="613">
        <f>+Funding!CN27</f>
        <v>0</v>
      </c>
    </row>
    <row r="28" spans="1:88" s="1" customFormat="1" ht="18.75" customHeight="1" x14ac:dyDescent="0.25">
      <c r="A28" s="2540"/>
      <c r="B28" s="2540"/>
      <c r="C28" s="2540"/>
      <c r="D28" s="2540"/>
      <c r="E28" s="2540"/>
      <c r="F28" s="2540"/>
      <c r="G28" s="2540"/>
      <c r="AA28" s="5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CE28" s="613">
        <f>+Funding!CI28</f>
        <v>1800000</v>
      </c>
      <c r="CF28" s="613">
        <f>+Funding!CJ28</f>
        <v>510</v>
      </c>
      <c r="CG28" s="613">
        <f>+Funding!CK28</f>
        <v>0</v>
      </c>
      <c r="CH28" s="613">
        <f>+Funding!CL28</f>
        <v>0</v>
      </c>
      <c r="CI28" s="613"/>
      <c r="CJ28" s="613">
        <f>+Funding!CN28</f>
        <v>0</v>
      </c>
    </row>
    <row r="29" spans="1:88" s="1" customFormat="1" ht="18.75" customHeight="1" thickBot="1" x14ac:dyDescent="0.3">
      <c r="A29" s="2540"/>
      <c r="B29" s="2540"/>
      <c r="C29" s="2540"/>
      <c r="D29" s="2540"/>
      <c r="E29" s="2540"/>
      <c r="F29" s="2540"/>
      <c r="G29" s="2540"/>
      <c r="AA29" s="5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CE29" s="613">
        <f>+Funding!CI29</f>
        <v>1900000</v>
      </c>
      <c r="CF29" s="613">
        <f>+Funding!CJ29</f>
        <v>530</v>
      </c>
      <c r="CG29" s="613">
        <f>+Funding!CK29</f>
        <v>0</v>
      </c>
      <c r="CH29" s="613">
        <f>+Funding!CL29</f>
        <v>0</v>
      </c>
      <c r="CI29" s="613"/>
      <c r="CJ29" s="613">
        <f>+Funding!CN29</f>
        <v>0</v>
      </c>
    </row>
    <row r="30" spans="1:88" s="1" customFormat="1" ht="18.75" customHeight="1" thickTop="1" x14ac:dyDescent="0.2">
      <c r="A30" s="2508" t="s">
        <v>245</v>
      </c>
      <c r="B30" s="2508"/>
      <c r="C30" s="2508"/>
      <c r="D30" s="2508"/>
      <c r="E30" s="2508"/>
      <c r="F30" s="2508"/>
      <c r="G30" s="2508"/>
      <c r="H30" s="2508"/>
      <c r="I30" s="2443" t="s">
        <v>244</v>
      </c>
      <c r="J30" s="2443"/>
      <c r="K30" s="2443"/>
      <c r="L30" s="2443" t="s">
        <v>244</v>
      </c>
      <c r="M30" s="2443"/>
      <c r="N30" s="2443"/>
      <c r="O30" s="2511" t="s">
        <v>242</v>
      </c>
      <c r="P30" s="2512"/>
      <c r="Q30" s="2513"/>
      <c r="R30" s="2443" t="s">
        <v>243</v>
      </c>
      <c r="S30" s="2443"/>
      <c r="T30" s="2443"/>
      <c r="U30" s="2443" t="s">
        <v>243</v>
      </c>
      <c r="V30" s="2443"/>
      <c r="W30" s="2443"/>
      <c r="X30" s="2443" t="s">
        <v>243</v>
      </c>
      <c r="Y30" s="2443"/>
      <c r="Z30" s="2443"/>
      <c r="AA30" s="5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CE30" s="613">
        <f>+Funding!CI30</f>
        <v>2000000</v>
      </c>
      <c r="CF30" s="613">
        <f>+Funding!CJ30</f>
        <v>550</v>
      </c>
      <c r="CG30" s="613">
        <f>+Funding!CK30</f>
        <v>0</v>
      </c>
      <c r="CH30" s="613">
        <f>+Funding!CL30</f>
        <v>0</v>
      </c>
      <c r="CI30" s="613"/>
      <c r="CJ30" s="613">
        <f>+Funding!CN30</f>
        <v>0</v>
      </c>
    </row>
    <row r="31" spans="1:88" s="1" customFormat="1" ht="18.75" customHeight="1" x14ac:dyDescent="0.25">
      <c r="A31" s="2495" t="s">
        <v>49</v>
      </c>
      <c r="B31" s="2495"/>
      <c r="C31" s="2495"/>
      <c r="D31" s="2495"/>
      <c r="E31" s="2495"/>
      <c r="F31" s="2495"/>
      <c r="G31" s="2495"/>
      <c r="H31" s="383"/>
      <c r="I31" s="2482" t="e">
        <f>+O20</f>
        <v>#VALUE!</v>
      </c>
      <c r="J31" s="2482"/>
      <c r="K31" s="2482"/>
      <c r="L31" s="2482" t="e">
        <f>+O20</f>
        <v>#VALUE!</v>
      </c>
      <c r="M31" s="2482"/>
      <c r="N31" s="2483"/>
      <c r="O31" s="2514" t="e">
        <f>+O20</f>
        <v>#VALUE!</v>
      </c>
      <c r="P31" s="2482"/>
      <c r="Q31" s="2515"/>
      <c r="R31" s="2486" t="e">
        <f>+O20</f>
        <v>#VALUE!</v>
      </c>
      <c r="S31" s="2482"/>
      <c r="T31" s="2483"/>
      <c r="U31" s="2482" t="e">
        <f>+O20</f>
        <v>#VALUE!</v>
      </c>
      <c r="V31" s="2482"/>
      <c r="W31" s="2483"/>
      <c r="X31" s="2482" t="e">
        <f>+O20</f>
        <v>#VALUE!</v>
      </c>
      <c r="Y31" s="2482"/>
      <c r="Z31" s="2483"/>
      <c r="AA31" s="5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CE31" s="613">
        <f>+Funding!CI31</f>
        <v>99990000</v>
      </c>
      <c r="CF31" s="613">
        <f>+Funding!CJ31</f>
        <v>150</v>
      </c>
      <c r="CG31" s="613">
        <f>+Funding!CK31</f>
        <v>0</v>
      </c>
      <c r="CH31" s="613">
        <f>+Funding!CL31</f>
        <v>0</v>
      </c>
      <c r="CI31" s="613"/>
      <c r="CJ31" s="613">
        <f>+Funding!CN31</f>
        <v>0</v>
      </c>
    </row>
    <row r="32" spans="1:88" s="1" customFormat="1" ht="18.75" customHeight="1" x14ac:dyDescent="0.25">
      <c r="A32" s="2495" t="s">
        <v>51</v>
      </c>
      <c r="B32" s="2495"/>
      <c r="C32" s="2495"/>
      <c r="D32" s="2495"/>
      <c r="E32" s="2495"/>
      <c r="F32" s="2495"/>
      <c r="G32" s="2495"/>
      <c r="H32" s="375"/>
      <c r="I32" s="2469">
        <f>+L32-0.5%</f>
        <v>3.0000000000000002E-2</v>
      </c>
      <c r="J32" s="2477"/>
      <c r="K32" s="2480"/>
      <c r="L32" s="2469">
        <f>+O32-0.5%</f>
        <v>3.5000000000000003E-2</v>
      </c>
      <c r="M32" s="2477"/>
      <c r="N32" s="2477"/>
      <c r="O32" s="2504">
        <f>+O23</f>
        <v>0.04</v>
      </c>
      <c r="P32" s="2477"/>
      <c r="Q32" s="2505"/>
      <c r="R32" s="2477">
        <f>+O32+0.5%</f>
        <v>4.4999999999999998E-2</v>
      </c>
      <c r="S32" s="2477"/>
      <c r="T32" s="2480"/>
      <c r="U32" s="2469">
        <f>+R32+0.5%</f>
        <v>4.9999999999999996E-2</v>
      </c>
      <c r="V32" s="2477"/>
      <c r="W32" s="2480"/>
      <c r="X32" s="2469">
        <f>+U32+0.5%</f>
        <v>5.4999999999999993E-2</v>
      </c>
      <c r="Y32" s="2477"/>
      <c r="Z32" s="2477"/>
      <c r="AA32" s="5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row>
    <row r="33" spans="1:68" s="1" customFormat="1" ht="18.75" customHeight="1" x14ac:dyDescent="0.25">
      <c r="A33" s="2495" t="s">
        <v>233</v>
      </c>
      <c r="B33" s="2495"/>
      <c r="C33" s="2495"/>
      <c r="D33" s="2495"/>
      <c r="E33" s="2495"/>
      <c r="F33" s="2495"/>
      <c r="G33" s="2495"/>
      <c r="H33" s="375"/>
      <c r="I33" s="2458" t="e">
        <f>+I31*I32/12</f>
        <v>#VALUE!</v>
      </c>
      <c r="J33" s="2458"/>
      <c r="K33" s="2458"/>
      <c r="L33" s="2458" t="e">
        <f>+L31*L32/12</f>
        <v>#VALUE!</v>
      </c>
      <c r="M33" s="2458"/>
      <c r="N33" s="2461"/>
      <c r="O33" s="2506" t="e">
        <f>+O31*O32/12</f>
        <v>#VALUE!</v>
      </c>
      <c r="P33" s="2458"/>
      <c r="Q33" s="2507"/>
      <c r="R33" s="2467" t="e">
        <f>+R31*R32/12</f>
        <v>#VALUE!</v>
      </c>
      <c r="S33" s="2458"/>
      <c r="T33" s="2458"/>
      <c r="U33" s="2458" t="e">
        <f>+U31*U32/12</f>
        <v>#VALUE!</v>
      </c>
      <c r="V33" s="2458"/>
      <c r="W33" s="2458"/>
      <c r="X33" s="2458" t="e">
        <f>+X31*X32/12</f>
        <v>#VALUE!</v>
      </c>
      <c r="Y33" s="2458"/>
      <c r="Z33" s="2458"/>
      <c r="AA33" s="5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row>
    <row r="34" spans="1:68" s="1" customFormat="1" ht="18.75" customHeight="1" x14ac:dyDescent="0.25">
      <c r="A34" s="2495" t="str">
        <f>CONCATENATE("Instalment pm – P&amp;I (",O35,"y)")</f>
        <v>Instalment pm – P&amp;I (30y)</v>
      </c>
      <c r="B34" s="2495"/>
      <c r="C34" s="2495"/>
      <c r="D34" s="2495"/>
      <c r="E34" s="2495"/>
      <c r="F34" s="2495"/>
      <c r="G34" s="2495"/>
      <c r="H34" s="375"/>
      <c r="I34" s="2461" t="e">
        <f>PMT(I32/12,O35*12,-I31)</f>
        <v>#VALUE!</v>
      </c>
      <c r="J34" s="2470"/>
      <c r="K34" s="2467"/>
      <c r="L34" s="2461" t="e">
        <f>PMT(L32/12,O35*12,-L31)</f>
        <v>#VALUE!</v>
      </c>
      <c r="M34" s="2470"/>
      <c r="N34" s="2470"/>
      <c r="O34" s="2499" t="e">
        <f>PMT(O32/12,+O35*12,-O31)</f>
        <v>#VALUE!</v>
      </c>
      <c r="P34" s="2470"/>
      <c r="Q34" s="2500"/>
      <c r="R34" s="2470" t="e">
        <f>PMT(R32/12,+O35*12,-R31)</f>
        <v>#VALUE!</v>
      </c>
      <c r="S34" s="2470"/>
      <c r="T34" s="2467"/>
      <c r="U34" s="2461" t="e">
        <f>PMT(U32/12,+O35*12,-U31)</f>
        <v>#VALUE!</v>
      </c>
      <c r="V34" s="2470"/>
      <c r="W34" s="2467"/>
      <c r="X34" s="2461" t="e">
        <f>PMT(X32/12,+O35*12,-X31)</f>
        <v>#VALUE!</v>
      </c>
      <c r="Y34" s="2470"/>
      <c r="Z34" s="2467"/>
      <c r="AA34" s="5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row>
    <row r="35" spans="1:68" ht="18.75" customHeight="1" thickBot="1" x14ac:dyDescent="0.3">
      <c r="A35" s="1"/>
      <c r="B35" s="1"/>
      <c r="C35" s="1"/>
      <c r="D35" s="1"/>
      <c r="E35" s="1"/>
      <c r="F35" s="1"/>
      <c r="G35" s="1"/>
      <c r="H35" s="1"/>
      <c r="I35" s="1"/>
      <c r="J35" s="1"/>
      <c r="K35" s="1"/>
      <c r="L35" s="2444" t="s">
        <v>275</v>
      </c>
      <c r="M35" s="2444"/>
      <c r="N35" s="2444"/>
      <c r="O35" s="2501">
        <f>+O26</f>
        <v>30</v>
      </c>
      <c r="P35" s="2502"/>
      <c r="Q35" s="2503"/>
      <c r="R35" s="2448" t="str">
        <f>+R26</f>
        <v>years</v>
      </c>
      <c r="S35" s="2448"/>
      <c r="T35" s="2448"/>
      <c r="U35" s="375"/>
      <c r="V35" s="375"/>
      <c r="W35" s="375"/>
      <c r="X35" s="375"/>
      <c r="Y35" s="375"/>
      <c r="Z35" s="375"/>
      <c r="AA35" s="53"/>
      <c r="AB35" s="27"/>
    </row>
    <row r="36" spans="1:68" ht="18.75" customHeight="1" thickTop="1" x14ac:dyDescent="0.25">
      <c r="A36" s="62"/>
      <c r="B36" s="62"/>
      <c r="C36" s="61"/>
      <c r="D36" s="1"/>
      <c r="E36" s="1"/>
      <c r="F36" s="1"/>
      <c r="G36" s="1"/>
      <c r="H36" s="1"/>
      <c r="I36" s="1"/>
      <c r="J36" s="1"/>
      <c r="K36" s="1"/>
      <c r="L36" s="1"/>
      <c r="M36" s="1"/>
      <c r="N36" s="1"/>
      <c r="O36" s="1"/>
      <c r="P36" s="1"/>
      <c r="Q36" s="1"/>
      <c r="R36" s="1"/>
      <c r="S36" s="1"/>
      <c r="T36" s="1"/>
      <c r="U36" s="1"/>
      <c r="V36" s="1"/>
      <c r="W36" s="1"/>
      <c r="X36" s="1"/>
      <c r="Y36" s="1"/>
      <c r="Z36" s="1"/>
      <c r="AA36" s="53"/>
    </row>
    <row r="37" spans="1:68" ht="18.75" customHeight="1" x14ac:dyDescent="0.25">
      <c r="A37" s="62"/>
      <c r="B37" s="62"/>
      <c r="C37" s="61"/>
      <c r="D37" s="1"/>
      <c r="E37" s="1"/>
      <c r="F37" s="1"/>
      <c r="G37" s="1"/>
      <c r="H37" s="1"/>
      <c r="I37" s="1"/>
      <c r="J37" s="1"/>
      <c r="K37" s="1"/>
      <c r="L37" s="1"/>
      <c r="M37" s="1"/>
      <c r="N37" s="1"/>
      <c r="O37" s="1"/>
      <c r="P37" s="1"/>
      <c r="Q37" s="1"/>
      <c r="R37" s="1"/>
      <c r="S37" s="1"/>
      <c r="T37" s="1"/>
      <c r="U37" s="1"/>
      <c r="V37" s="1"/>
      <c r="W37" s="1"/>
      <c r="X37" s="1"/>
      <c r="Y37" s="1"/>
      <c r="Z37" s="1"/>
      <c r="AA37" s="53"/>
    </row>
    <row r="38" spans="1:68" ht="18.75" customHeight="1" x14ac:dyDescent="0.25">
      <c r="A38" s="105"/>
      <c r="B38" s="62"/>
      <c r="C38" s="61"/>
      <c r="D38" s="1"/>
      <c r="E38" s="1"/>
      <c r="F38" s="1"/>
      <c r="G38" s="1"/>
      <c r="H38" s="1"/>
      <c r="I38" s="1"/>
      <c r="J38" s="1"/>
      <c r="K38" s="1"/>
      <c r="L38" s="1"/>
      <c r="M38" s="1"/>
      <c r="N38" s="1"/>
      <c r="O38" s="1"/>
      <c r="P38" s="1"/>
      <c r="Q38" s="1"/>
      <c r="R38" s="1"/>
      <c r="S38" s="1"/>
      <c r="T38" s="1"/>
      <c r="U38" s="1"/>
      <c r="V38" s="1"/>
      <c r="W38" s="1"/>
      <c r="X38" s="1"/>
      <c r="Y38" s="1"/>
      <c r="Z38" s="1"/>
      <c r="AA38" s="53"/>
    </row>
    <row r="39" spans="1:68" ht="18.75" customHeight="1" x14ac:dyDescent="0.25">
      <c r="A39" s="105"/>
      <c r="B39" s="62"/>
      <c r="C39" s="61"/>
      <c r="D39" s="1"/>
      <c r="E39" s="1"/>
      <c r="F39" s="1"/>
      <c r="G39" s="1"/>
      <c r="H39" s="1"/>
      <c r="I39" s="1"/>
      <c r="J39" s="1"/>
      <c r="K39" s="1"/>
      <c r="L39" s="1"/>
      <c r="M39" s="1"/>
      <c r="N39" s="1"/>
      <c r="O39" s="1"/>
      <c r="P39" s="1"/>
      <c r="Q39" s="1"/>
      <c r="R39" s="1"/>
      <c r="S39" s="1"/>
      <c r="T39" s="1"/>
      <c r="U39" s="1"/>
      <c r="V39" s="1"/>
      <c r="W39" s="1"/>
      <c r="X39" s="1"/>
      <c r="Y39" s="1"/>
      <c r="Z39" s="1"/>
      <c r="AA39" s="53"/>
    </row>
    <row r="40" spans="1:68" ht="18.75" customHeight="1" x14ac:dyDescent="0.25">
      <c r="A40" s="49"/>
      <c r="B40" s="49"/>
      <c r="C40" s="49"/>
      <c r="D40" s="67"/>
      <c r="E40" s="67"/>
      <c r="F40" s="67"/>
      <c r="G40" s="67"/>
      <c r="H40" s="67"/>
      <c r="I40" s="67"/>
      <c r="J40" s="67"/>
      <c r="K40" s="67"/>
      <c r="L40" s="67"/>
      <c r="M40" s="67"/>
      <c r="N40" s="67"/>
      <c r="O40" s="67"/>
      <c r="P40" s="67"/>
      <c r="Q40" s="67"/>
      <c r="R40" s="67"/>
      <c r="S40" s="67"/>
      <c r="T40" s="67"/>
      <c r="U40" s="67"/>
      <c r="V40" s="67"/>
      <c r="W40" s="67"/>
      <c r="X40" s="67"/>
      <c r="Y40" s="67"/>
      <c r="Z40" s="67"/>
      <c r="AA40" s="53"/>
    </row>
    <row r="41" spans="1:68" ht="18.75" customHeight="1" x14ac:dyDescent="0.25">
      <c r="A41" s="30"/>
      <c r="B41" s="30"/>
      <c r="C41" s="30"/>
      <c r="D41" s="30"/>
      <c r="E41" s="30"/>
      <c r="F41" s="30"/>
      <c r="G41" s="30"/>
      <c r="H41" s="30"/>
      <c r="I41" s="30"/>
      <c r="J41" s="30"/>
      <c r="K41" s="30"/>
      <c r="L41" s="30"/>
      <c r="M41" s="30"/>
      <c r="N41" s="30"/>
      <c r="O41" s="30"/>
      <c r="P41" s="30"/>
      <c r="Q41" s="31"/>
      <c r="R41" s="30"/>
      <c r="S41" s="30"/>
    </row>
    <row r="42" spans="1:68" ht="18.75" customHeight="1" x14ac:dyDescent="0.25">
      <c r="A42" s="30"/>
      <c r="B42" s="30"/>
      <c r="C42" s="30"/>
      <c r="D42" s="30"/>
      <c r="E42" s="30"/>
      <c r="F42" s="30"/>
      <c r="G42" s="30"/>
      <c r="H42" s="30"/>
      <c r="I42" s="30"/>
      <c r="J42" s="30"/>
      <c r="K42" s="30"/>
      <c r="L42" s="30"/>
      <c r="M42" s="30"/>
      <c r="N42" s="30"/>
      <c r="O42" s="30"/>
      <c r="P42" s="30"/>
      <c r="Q42" s="31"/>
      <c r="R42" s="30"/>
      <c r="S42" s="30"/>
    </row>
  </sheetData>
  <sheetProtection sheet="1" objects="1" scenarios="1"/>
  <mergeCells count="171">
    <mergeCell ref="A12:G12"/>
    <mergeCell ref="A31:G31"/>
    <mergeCell ref="A14:G14"/>
    <mergeCell ref="A32:G32"/>
    <mergeCell ref="A33:G33"/>
    <mergeCell ref="A34:G34"/>
    <mergeCell ref="A29:G29"/>
    <mergeCell ref="A28:G28"/>
    <mergeCell ref="A27:G27"/>
    <mergeCell ref="A26:G26"/>
    <mergeCell ref="A13:G13"/>
    <mergeCell ref="A19:G19"/>
    <mergeCell ref="A21:G21"/>
    <mergeCell ref="A23:G23"/>
    <mergeCell ref="A24:G24"/>
    <mergeCell ref="A25:G25"/>
    <mergeCell ref="A22:G22"/>
    <mergeCell ref="A18:G18"/>
    <mergeCell ref="A15:G15"/>
    <mergeCell ref="A16:G16"/>
    <mergeCell ref="A17:G17"/>
    <mergeCell ref="A20:G20"/>
    <mergeCell ref="O26:Q26"/>
    <mergeCell ref="R26:T26"/>
    <mergeCell ref="U26:W26"/>
    <mergeCell ref="X26:Z26"/>
    <mergeCell ref="L26:N26"/>
    <mergeCell ref="I26:K26"/>
    <mergeCell ref="R35:T35"/>
    <mergeCell ref="L35:N35"/>
    <mergeCell ref="I23:K23"/>
    <mergeCell ref="L23:N23"/>
    <mergeCell ref="O23:Q23"/>
    <mergeCell ref="R23:T23"/>
    <mergeCell ref="U23:W23"/>
    <mergeCell ref="X23:Z23"/>
    <mergeCell ref="I25:K25"/>
    <mergeCell ref="L25:N25"/>
    <mergeCell ref="O25:Q25"/>
    <mergeCell ref="R25:T25"/>
    <mergeCell ref="U25:W25"/>
    <mergeCell ref="X25:Z25"/>
    <mergeCell ref="I24:K24"/>
    <mergeCell ref="L24:N24"/>
    <mergeCell ref="O24:Q24"/>
    <mergeCell ref="R24:T24"/>
    <mergeCell ref="U24:W24"/>
    <mergeCell ref="X24:Z24"/>
    <mergeCell ref="I21:K21"/>
    <mergeCell ref="L21:N21"/>
    <mergeCell ref="O21:Q21"/>
    <mergeCell ref="R21:T21"/>
    <mergeCell ref="U21:W21"/>
    <mergeCell ref="X21:Z21"/>
    <mergeCell ref="I19:K19"/>
    <mergeCell ref="L19:N19"/>
    <mergeCell ref="O19:Q19"/>
    <mergeCell ref="R19:T19"/>
    <mergeCell ref="U19:W19"/>
    <mergeCell ref="X19:Z19"/>
    <mergeCell ref="I20:K20"/>
    <mergeCell ref="L20:N20"/>
    <mergeCell ref="O20:Q20"/>
    <mergeCell ref="R20:T20"/>
    <mergeCell ref="U20:W20"/>
    <mergeCell ref="X20:Z20"/>
    <mergeCell ref="X16:Z16"/>
    <mergeCell ref="I17:K17"/>
    <mergeCell ref="L17:N17"/>
    <mergeCell ref="O17:Q17"/>
    <mergeCell ref="R17:T17"/>
    <mergeCell ref="U17:W17"/>
    <mergeCell ref="X17:Z17"/>
    <mergeCell ref="I16:K16"/>
    <mergeCell ref="L16:N16"/>
    <mergeCell ref="O16:Q16"/>
    <mergeCell ref="R16:T16"/>
    <mergeCell ref="U16:W16"/>
    <mergeCell ref="X14:Z14"/>
    <mergeCell ref="I15:K15"/>
    <mergeCell ref="L15:N15"/>
    <mergeCell ref="O15:Q15"/>
    <mergeCell ref="R15:T15"/>
    <mergeCell ref="U15:W15"/>
    <mergeCell ref="X15:Z15"/>
    <mergeCell ref="I14:K14"/>
    <mergeCell ref="L14:N14"/>
    <mergeCell ref="O14:Q14"/>
    <mergeCell ref="R14:T14"/>
    <mergeCell ref="U14:W14"/>
    <mergeCell ref="I11:K11"/>
    <mergeCell ref="L11:N11"/>
    <mergeCell ref="O11:Q11"/>
    <mergeCell ref="R11:T11"/>
    <mergeCell ref="U11:W11"/>
    <mergeCell ref="X11:Z11"/>
    <mergeCell ref="X9:Z9"/>
    <mergeCell ref="A10:F10"/>
    <mergeCell ref="I10:K10"/>
    <mergeCell ref="L10:N10"/>
    <mergeCell ref="O10:Q10"/>
    <mergeCell ref="R10:T10"/>
    <mergeCell ref="U10:W10"/>
    <mergeCell ref="X10:Z10"/>
    <mergeCell ref="A11:G11"/>
    <mergeCell ref="O8:Q8"/>
    <mergeCell ref="X8:Z8"/>
    <mergeCell ref="A9:F9"/>
    <mergeCell ref="I9:K9"/>
    <mergeCell ref="L9:N9"/>
    <mergeCell ref="O9:Q9"/>
    <mergeCell ref="R9:T9"/>
    <mergeCell ref="U9:W9"/>
    <mergeCell ref="A7:W7"/>
    <mergeCell ref="X7:Z7"/>
    <mergeCell ref="O30:Q30"/>
    <mergeCell ref="R30:T30"/>
    <mergeCell ref="U30:W30"/>
    <mergeCell ref="X30:Z30"/>
    <mergeCell ref="I31:K31"/>
    <mergeCell ref="L31:N31"/>
    <mergeCell ref="O31:Q31"/>
    <mergeCell ref="R31:T31"/>
    <mergeCell ref="U31:W31"/>
    <mergeCell ref="X31:Z31"/>
    <mergeCell ref="L13:N13"/>
    <mergeCell ref="O13:Q13"/>
    <mergeCell ref="R13:T13"/>
    <mergeCell ref="U13:W13"/>
    <mergeCell ref="X13:Z13"/>
    <mergeCell ref="I12:K12"/>
    <mergeCell ref="L12:N12"/>
    <mergeCell ref="O12:Q12"/>
    <mergeCell ref="R12:T12"/>
    <mergeCell ref="U12:W12"/>
    <mergeCell ref="X12:Z12"/>
    <mergeCell ref="I34:K34"/>
    <mergeCell ref="L34:N34"/>
    <mergeCell ref="O34:Q34"/>
    <mergeCell ref="R34:T34"/>
    <mergeCell ref="U34:W34"/>
    <mergeCell ref="X34:Z34"/>
    <mergeCell ref="O35:Q35"/>
    <mergeCell ref="A8:H8"/>
    <mergeCell ref="I32:K32"/>
    <mergeCell ref="L32:N32"/>
    <mergeCell ref="O32:Q32"/>
    <mergeCell ref="R32:T32"/>
    <mergeCell ref="U32:W32"/>
    <mergeCell ref="X32:Z32"/>
    <mergeCell ref="I33:K33"/>
    <mergeCell ref="L33:N33"/>
    <mergeCell ref="O33:Q33"/>
    <mergeCell ref="R33:T33"/>
    <mergeCell ref="U33:W33"/>
    <mergeCell ref="X33:Z33"/>
    <mergeCell ref="A30:H30"/>
    <mergeCell ref="I30:K30"/>
    <mergeCell ref="L30:N30"/>
    <mergeCell ref="I13:K13"/>
    <mergeCell ref="B6:Z6"/>
    <mergeCell ref="A1:U1"/>
    <mergeCell ref="A2:AA2"/>
    <mergeCell ref="B3:F3"/>
    <mergeCell ref="H3:R3"/>
    <mergeCell ref="S3:U3"/>
    <mergeCell ref="V3:AA3"/>
    <mergeCell ref="B4:F4"/>
    <mergeCell ref="H4:J4"/>
    <mergeCell ref="S4:U4"/>
    <mergeCell ref="V4:Z4"/>
  </mergeCells>
  <conditionalFormatting sqref="I21:K21">
    <cfRule type="expression" dxfId="25" priority="6">
      <formula>I21&gt;0.8</formula>
    </cfRule>
  </conditionalFormatting>
  <conditionalFormatting sqref="L21:N21">
    <cfRule type="expression" dxfId="24" priority="5">
      <formula>L21&gt;0.8</formula>
    </cfRule>
  </conditionalFormatting>
  <conditionalFormatting sqref="O21:Q21">
    <cfRule type="expression" dxfId="23" priority="4">
      <formula>O21&gt;0.8</formula>
    </cfRule>
  </conditionalFormatting>
  <conditionalFormatting sqref="R21:T21">
    <cfRule type="expression" dxfId="22" priority="3">
      <formula>R21&gt;0.8</formula>
    </cfRule>
  </conditionalFormatting>
  <conditionalFormatting sqref="U21:W21">
    <cfRule type="expression" dxfId="21" priority="2">
      <formula>U21&gt;0.8</formula>
    </cfRule>
  </conditionalFormatting>
  <conditionalFormatting sqref="X21:Z21">
    <cfRule type="expression" dxfId="20" priority="1">
      <formula>X21&gt;0.8</formula>
    </cfRule>
  </conditionalFormatting>
  <dataValidations count="1">
    <dataValidation type="list" allowBlank="1" showInputMessage="1" showErrorMessage="1" sqref="I10:Z10">
      <formula1>$AD$7:$AD$13</formula1>
    </dataValidation>
  </dataValidations>
  <pageMargins left="0.23622047244094491" right="0.23622047244094491" top="0.74803149606299213" bottom="0.74803149606299213" header="0.31496062992125984" footer="0"/>
  <pageSetup paperSize="9" scale="94" orientation="portrait" r:id="rId1"/>
  <headerFooter>
    <oddHeader>&amp;R&amp;G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ET42"/>
  <sheetViews>
    <sheetView showGridLines="0" showRuler="0" view="pageLayout" zoomScale="112" zoomScaleNormal="100" zoomScalePageLayoutView="112" workbookViewId="0">
      <selection activeCell="U12" sqref="U12:W12"/>
    </sheetView>
  </sheetViews>
  <sheetFormatPr defaultColWidth="3.5703125" defaultRowHeight="18.75" customHeight="1" x14ac:dyDescent="0.25"/>
  <cols>
    <col min="1" max="16" width="3.5703125" style="21"/>
    <col min="17" max="17" width="3.5703125" style="23"/>
    <col min="18" max="27" width="3.5703125" style="21"/>
    <col min="28" max="28" width="3.5703125" style="21" customWidth="1"/>
    <col min="29" max="30" width="10.5703125" style="94" customWidth="1"/>
    <col min="31" max="32" width="7.5703125" style="94" customWidth="1"/>
    <col min="33" max="33" width="9.140625" style="94" bestFit="1" customWidth="1"/>
    <col min="34" max="38" width="8.7109375" style="94" bestFit="1" customWidth="1"/>
    <col min="39" max="39" width="8" style="94" bestFit="1" customWidth="1"/>
    <col min="40" max="45" width="3.5703125" style="94"/>
    <col min="46" max="68" width="3.5703125" style="129"/>
    <col min="69" max="75" width="3.5703125" style="21"/>
    <col min="76" max="81" width="9.85546875" style="21" bestFit="1" customWidth="1"/>
    <col min="82" max="82" width="3" style="21" bestFit="1" customWidth="1"/>
    <col min="83" max="83" width="10.85546875" style="21" bestFit="1" customWidth="1"/>
    <col min="84" max="84" width="7.140625" style="21" bestFit="1" customWidth="1"/>
    <col min="85" max="85" width="3" style="21" bestFit="1" customWidth="1"/>
    <col min="86" max="86" width="6.5703125" style="21" bestFit="1" customWidth="1"/>
    <col min="87" max="87" width="3" style="21" bestFit="1" customWidth="1"/>
    <col min="88" max="88" width="5" style="21" bestFit="1" customWidth="1"/>
    <col min="89" max="90" width="3" style="21" bestFit="1" customWidth="1"/>
    <col min="91" max="16384" width="3.5703125" style="21"/>
  </cols>
  <sheetData>
    <row r="1" spans="1:150" ht="60" customHeight="1" x14ac:dyDescent="0.25">
      <c r="A1" s="2498" t="s">
        <v>628</v>
      </c>
      <c r="B1" s="2498"/>
      <c r="C1" s="2498"/>
      <c r="D1" s="2498"/>
      <c r="E1" s="2498"/>
      <c r="F1" s="2498"/>
      <c r="G1" s="2498"/>
      <c r="H1" s="2498"/>
      <c r="I1" s="2498"/>
      <c r="J1" s="2498"/>
      <c r="K1" s="2498"/>
      <c r="L1" s="2498"/>
      <c r="M1" s="2498"/>
      <c r="N1" s="2498"/>
      <c r="O1" s="2498"/>
      <c r="P1" s="2498"/>
      <c r="Q1" s="2498"/>
      <c r="R1" s="2498"/>
      <c r="S1" s="2498"/>
      <c r="T1" s="2498"/>
      <c r="U1" s="2498"/>
      <c r="AC1" s="871" t="s">
        <v>434</v>
      </c>
      <c r="AD1" s="871"/>
      <c r="AE1" s="871"/>
      <c r="AF1" s="871"/>
      <c r="AG1" s="871"/>
      <c r="AH1" s="871"/>
      <c r="AI1" s="871"/>
      <c r="AJ1" s="871"/>
      <c r="AK1" s="871"/>
      <c r="AL1" s="871"/>
      <c r="AM1" s="871"/>
      <c r="AN1" s="871"/>
      <c r="AO1" s="871"/>
      <c r="AP1" s="871"/>
      <c r="AQ1" s="871"/>
      <c r="AR1" s="871"/>
      <c r="AS1" s="871"/>
      <c r="AT1" s="871"/>
      <c r="AU1" s="871"/>
      <c r="AV1" s="871"/>
      <c r="AW1" s="871"/>
      <c r="AX1" s="871"/>
      <c r="AY1" s="871"/>
      <c r="AZ1" s="871"/>
    </row>
    <row r="2" spans="1:150" s="27" customFormat="1" ht="15"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C2" s="94"/>
      <c r="AD2" s="94"/>
      <c r="AE2" s="94"/>
      <c r="AF2" s="94"/>
      <c r="AG2" s="94"/>
      <c r="AH2" s="94"/>
      <c r="AI2" s="94"/>
      <c r="AJ2" s="94"/>
      <c r="AK2" s="94"/>
      <c r="AL2" s="94"/>
      <c r="AM2" s="94"/>
      <c r="AN2" s="94"/>
      <c r="AO2" s="94"/>
      <c r="AP2" s="94"/>
      <c r="AQ2" s="94"/>
      <c r="AR2" s="94"/>
      <c r="AS2" s="94"/>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row>
    <row r="3" spans="1:150" s="192" customFormat="1" ht="15"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t="s">
        <v>685</v>
      </c>
      <c r="T3" s="1724"/>
      <c r="U3" s="1724"/>
      <c r="V3" s="1727" t="str">
        <f>+Funding!U3</f>
        <v>Purchase - Invest</v>
      </c>
      <c r="W3" s="1727"/>
      <c r="X3" s="1727"/>
      <c r="Y3" s="1727"/>
      <c r="Z3" s="1727"/>
      <c r="AA3" s="1727"/>
      <c r="AB3" s="21"/>
      <c r="AC3" s="190"/>
      <c r="AD3" s="190"/>
      <c r="AE3" s="190"/>
      <c r="AF3" s="190"/>
      <c r="AG3" s="190"/>
      <c r="AH3" s="190"/>
      <c r="AI3" s="190"/>
      <c r="AJ3" s="190"/>
      <c r="AK3" s="190"/>
      <c r="AL3" s="190"/>
      <c r="AM3" s="190"/>
      <c r="AN3" s="190"/>
      <c r="AO3" s="190"/>
      <c r="AP3" s="191"/>
      <c r="AQ3" s="191"/>
      <c r="AR3" s="191"/>
      <c r="AS3" s="191"/>
      <c r="AT3" s="191"/>
      <c r="AU3" s="191"/>
      <c r="AV3" s="191"/>
      <c r="AW3" s="191"/>
      <c r="AX3" s="191"/>
      <c r="AY3" s="191"/>
      <c r="AZ3" s="191"/>
      <c r="BA3" s="191"/>
      <c r="BB3" s="191"/>
      <c r="BC3" s="191"/>
      <c r="BD3" s="191"/>
      <c r="BE3" s="191"/>
      <c r="BF3" s="191"/>
      <c r="BG3" s="191"/>
      <c r="BH3" s="191"/>
    </row>
    <row r="4" spans="1:150" ht="15.75" thickBot="1" x14ac:dyDescent="0.3">
      <c r="A4" s="686"/>
      <c r="B4" s="1724" t="s">
        <v>670</v>
      </c>
      <c r="C4" s="1724"/>
      <c r="D4" s="1724"/>
      <c r="E4" s="1724"/>
      <c r="F4" s="1724"/>
      <c r="G4" s="687"/>
      <c r="H4" s="1725">
        <f>+Purchase</f>
        <v>0</v>
      </c>
      <c r="I4" s="1725"/>
      <c r="J4" s="1725"/>
      <c r="K4" s="688"/>
      <c r="L4" s="688"/>
      <c r="M4" s="688"/>
      <c r="N4" s="688"/>
      <c r="O4" s="688"/>
      <c r="P4" s="688"/>
      <c r="Q4" s="688"/>
      <c r="R4" s="688"/>
      <c r="S4" s="1724" t="s">
        <v>686</v>
      </c>
      <c r="T4" s="1724"/>
      <c r="U4" s="1724"/>
      <c r="V4" s="1727" t="str">
        <f>+Funding!U4</f>
        <v/>
      </c>
      <c r="W4" s="1727"/>
      <c r="X4" s="1727"/>
      <c r="Y4" s="1727"/>
      <c r="Z4" s="1727"/>
      <c r="AA4" s="686"/>
    </row>
    <row r="5" spans="1:150" s="1" customFormat="1" ht="15" x14ac:dyDescent="0.25">
      <c r="A5" s="689"/>
      <c r="B5" s="689"/>
      <c r="C5" s="689"/>
      <c r="D5" s="689"/>
      <c r="E5" s="689"/>
      <c r="F5" s="689"/>
      <c r="G5" s="689"/>
      <c r="H5" s="689"/>
      <c r="I5" s="690"/>
      <c r="J5" s="690"/>
      <c r="K5" s="689"/>
      <c r="L5" s="689"/>
      <c r="M5" s="689"/>
      <c r="N5" s="689"/>
      <c r="O5" s="689"/>
      <c r="P5" s="689"/>
      <c r="Q5" s="689"/>
      <c r="R5" s="689"/>
      <c r="S5" s="689"/>
      <c r="T5" s="689"/>
      <c r="U5" s="689"/>
      <c r="V5" s="689"/>
      <c r="W5" s="689"/>
      <c r="X5" s="689"/>
      <c r="Y5" s="689"/>
      <c r="Z5" s="689"/>
      <c r="AA5" s="689"/>
      <c r="AC5" s="135"/>
      <c r="AD5" s="872"/>
      <c r="AE5" s="132"/>
      <c r="AF5" s="132"/>
      <c r="AG5" s="145">
        <f>+I9</f>
        <v>-100000</v>
      </c>
      <c r="AH5" s="145">
        <f>+L9</f>
        <v>-50000</v>
      </c>
      <c r="AI5" s="807">
        <f>+O9</f>
        <v>0</v>
      </c>
      <c r="AJ5" s="145">
        <f>+R9</f>
        <v>50000</v>
      </c>
      <c r="AK5" s="145">
        <f>+U9</f>
        <v>100000</v>
      </c>
      <c r="AL5" s="145">
        <f>+X9</f>
        <v>150000</v>
      </c>
      <c r="AM5" s="94"/>
      <c r="AN5" s="135"/>
      <c r="AO5" s="135"/>
      <c r="AP5" s="135"/>
      <c r="AQ5" s="135"/>
      <c r="AR5" s="135"/>
      <c r="AS5" s="135"/>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150" s="709" customFormat="1" ht="11.25" x14ac:dyDescent="0.2">
      <c r="A6" s="689"/>
      <c r="B6" s="1722" t="e">
        <f>CONCATENATE("Proposed Budgets based on a set Deposit Amount (ie different purchase price with same Loan ",TEXT(O20,"$#,###")," amount")</f>
        <v>#VALUE!</v>
      </c>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1722"/>
      <c r="AA6" s="689"/>
      <c r="AC6" s="680"/>
      <c r="AD6" s="710"/>
      <c r="AE6" s="711" t="s">
        <v>35</v>
      </c>
      <c r="AF6" s="711" t="s">
        <v>36</v>
      </c>
      <c r="AG6" s="711" t="s">
        <v>37</v>
      </c>
      <c r="AH6" s="803" t="s">
        <v>218</v>
      </c>
      <c r="AI6" s="808" t="s">
        <v>219</v>
      </c>
      <c r="AJ6" s="805" t="s">
        <v>220</v>
      </c>
      <c r="AK6" s="711" t="s">
        <v>221</v>
      </c>
      <c r="AL6" s="711" t="s">
        <v>222</v>
      </c>
      <c r="AM6" s="870"/>
      <c r="AN6" s="680"/>
      <c r="AO6" s="680"/>
      <c r="AP6" s="680"/>
      <c r="AQ6" s="680"/>
      <c r="AR6" s="680"/>
      <c r="AS6" s="680"/>
      <c r="AT6" s="680"/>
      <c r="AU6" s="680"/>
      <c r="AV6" s="680"/>
      <c r="AW6" s="680"/>
      <c r="AX6" s="680"/>
      <c r="AY6" s="680"/>
      <c r="AZ6" s="680"/>
      <c r="BA6" s="680"/>
      <c r="BB6" s="680"/>
      <c r="BC6" s="680"/>
      <c r="BD6" s="680"/>
      <c r="BE6" s="680"/>
      <c r="BF6" s="680"/>
      <c r="BG6" s="680"/>
      <c r="BH6" s="680"/>
      <c r="BI6" s="680"/>
      <c r="BJ6" s="680"/>
      <c r="BK6" s="680"/>
      <c r="BL6" s="680"/>
      <c r="BM6" s="680"/>
      <c r="BN6" s="680"/>
      <c r="BO6" s="680"/>
      <c r="BP6" s="680"/>
    </row>
    <row r="7" spans="1:150" s="65" customFormat="1" ht="18.75" customHeight="1" thickBot="1" x14ac:dyDescent="0.3">
      <c r="A7" s="2432"/>
      <c r="B7" s="2432"/>
      <c r="C7" s="2432"/>
      <c r="D7" s="2432"/>
      <c r="E7" s="2432"/>
      <c r="F7" s="2432"/>
      <c r="G7" s="2432"/>
      <c r="H7" s="2432"/>
      <c r="I7" s="2432"/>
      <c r="J7" s="2432"/>
      <c r="K7" s="2432"/>
      <c r="L7" s="2432"/>
      <c r="M7" s="2432"/>
      <c r="N7" s="2432"/>
      <c r="O7" s="2432"/>
      <c r="P7" s="2432"/>
      <c r="Q7" s="2432"/>
      <c r="R7" s="2432"/>
      <c r="S7" s="2432"/>
      <c r="T7" s="2432"/>
      <c r="U7" s="2432"/>
      <c r="V7" s="2432"/>
      <c r="W7" s="2432"/>
      <c r="X7" s="2426" t="s">
        <v>224</v>
      </c>
      <c r="Y7" s="2426"/>
      <c r="Z7" s="2426"/>
      <c r="AA7" s="104"/>
      <c r="AC7" s="135"/>
      <c r="AD7" s="147" t="s">
        <v>39</v>
      </c>
      <c r="AE7" s="134">
        <f>+Settings!W4</f>
        <v>262</v>
      </c>
      <c r="AF7" s="134">
        <f>+Settings!X4</f>
        <v>135</v>
      </c>
      <c r="AG7" s="134" t="str">
        <f t="shared" ref="AG7:AL7" si="0">IF(AND(BX13&gt;=0,BX13&lt;200000),2*INT((BX13)/100),IF(AND(BX13&gt;=200000,BX13&lt;300000),4000+3.5*INT((BX13-199901)/100),IF(AND(BX13&gt;=300000,BX13&lt;500000),7500+4.15*INT((BX13-299901)/100),IF(AND(BX13&gt;=500000,BX13&lt;750000),15800+5*INT((BX13-499901)/100),IF(AND(BX13&gt;=750000,BX13&lt;1000000),28300+6.5*INT((BX13-749901)/100),IF(AND(BX13&gt;=1000000,BX13&lt;1455000),44550+7*INT((BX13-999901)/100),IF(BX13&gt;=1455000,5.25*INT((BX13)/100),"Check")))))))</f>
        <v>Check</v>
      </c>
      <c r="AH7" s="804" t="str">
        <f t="shared" si="0"/>
        <v>Check</v>
      </c>
      <c r="AI7" s="809">
        <f t="shared" si="0"/>
        <v>0</v>
      </c>
      <c r="AJ7" s="806">
        <f t="shared" si="0"/>
        <v>1000</v>
      </c>
      <c r="AK7" s="134">
        <f t="shared" si="0"/>
        <v>2000</v>
      </c>
      <c r="AL7" s="134">
        <f t="shared" si="0"/>
        <v>3000</v>
      </c>
      <c r="AM7" s="94"/>
      <c r="AN7" s="135"/>
      <c r="AO7" s="135"/>
      <c r="AP7" s="135"/>
      <c r="AQ7" s="135"/>
      <c r="AR7" s="135"/>
      <c r="AS7" s="135"/>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
      <c r="BR7" s="1"/>
      <c r="BS7" s="1"/>
      <c r="BT7" s="1"/>
      <c r="BU7" s="1"/>
      <c r="BV7" s="1"/>
      <c r="BW7" s="1"/>
      <c r="BX7" s="1"/>
      <c r="BY7" s="1"/>
      <c r="BZ7" s="1"/>
      <c r="CA7" s="1"/>
      <c r="CB7" s="1"/>
      <c r="CC7" s="1"/>
      <c r="CD7" s="1"/>
      <c r="CE7" s="421" t="str">
        <f>+Funding!CI7</f>
        <v>WA Transfer</v>
      </c>
      <c r="CF7" s="421" t="str">
        <f>+Funding!CJ7</f>
        <v>WA Fee</v>
      </c>
      <c r="CG7" s="421"/>
      <c r="CH7" s="421" t="str">
        <f>+Funding!CL7</f>
        <v>Vic Fee</v>
      </c>
      <c r="CI7" s="421"/>
      <c r="CJ7" s="421">
        <f>+Funding!CN7</f>
        <v>0</v>
      </c>
      <c r="CK7" s="42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row>
    <row r="8" spans="1:150" s="1" customFormat="1" ht="18.75" customHeight="1" thickTop="1" x14ac:dyDescent="0.25">
      <c r="A8" s="2430" t="s">
        <v>46</v>
      </c>
      <c r="B8" s="2430"/>
      <c r="C8" s="2430"/>
      <c r="D8" s="2430"/>
      <c r="E8" s="2430"/>
      <c r="F8" s="2430"/>
      <c r="G8" s="2430"/>
      <c r="H8" s="2430"/>
      <c r="I8" s="66"/>
      <c r="J8" s="66"/>
      <c r="K8" s="66"/>
      <c r="L8" s="66"/>
      <c r="M8" s="66"/>
      <c r="N8" s="66"/>
      <c r="O8" s="2433" t="s">
        <v>276</v>
      </c>
      <c r="P8" s="2434"/>
      <c r="Q8" s="2435"/>
      <c r="R8" s="66"/>
      <c r="S8" s="66"/>
      <c r="T8" s="66"/>
      <c r="U8" s="66"/>
      <c r="V8" s="66"/>
      <c r="W8" s="66"/>
      <c r="X8" s="2427">
        <v>50000</v>
      </c>
      <c r="Y8" s="2428"/>
      <c r="Z8" s="2429"/>
      <c r="AA8" s="66"/>
      <c r="AC8" s="146"/>
      <c r="AD8" s="147" t="s">
        <v>34</v>
      </c>
      <c r="AE8" s="134">
        <f>+Settings!W5</f>
        <v>272</v>
      </c>
      <c r="AF8" s="134">
        <f>+Settings!X5</f>
        <v>136</v>
      </c>
      <c r="AG8" s="134" t="str">
        <f t="shared" ref="AG8:AL8" si="1">IF(AND(AG5&gt;=80000,AG5&lt;300000),1290+3.5*INT((AG5-79901)/100),IF(AND(AG5&gt;=300000,AG5&lt;1000000),8990+4.5*INT((AG5-299901)/100),IF(AG5&gt;=1000000,40490+5.5*INT((AG5-999901)/100),"NO DUTY")))</f>
        <v>NO DUTY</v>
      </c>
      <c r="AH8" s="804" t="str">
        <f t="shared" si="1"/>
        <v>NO DUTY</v>
      </c>
      <c r="AI8" s="809" t="str">
        <f t="shared" si="1"/>
        <v>NO DUTY</v>
      </c>
      <c r="AJ8" s="806" t="str">
        <f t="shared" si="1"/>
        <v>NO DUTY</v>
      </c>
      <c r="AK8" s="134">
        <f t="shared" si="1"/>
        <v>1990</v>
      </c>
      <c r="AL8" s="134">
        <f t="shared" si="1"/>
        <v>3740</v>
      </c>
      <c r="AM8" s="94"/>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65"/>
      <c r="BR8" s="65"/>
      <c r="BS8" s="65"/>
      <c r="BT8" s="65"/>
      <c r="BU8" s="65"/>
      <c r="BV8" s="65"/>
      <c r="BW8" s="65"/>
      <c r="BX8" s="65"/>
      <c r="BY8" s="65"/>
      <c r="BZ8" s="65"/>
      <c r="CA8" s="65"/>
      <c r="CB8" s="65"/>
      <c r="CC8" s="65"/>
      <c r="CD8" s="65"/>
      <c r="CE8" s="613">
        <f>+Funding!CI8</f>
        <v>0</v>
      </c>
      <c r="CF8" s="613">
        <f>+Funding!CJ8</f>
        <v>160</v>
      </c>
      <c r="CG8" s="613">
        <f>+Funding!CK8</f>
        <v>0</v>
      </c>
      <c r="CH8" s="613">
        <f>+Funding!CL8</f>
        <v>344</v>
      </c>
      <c r="CI8" s="613"/>
      <c r="CJ8" s="613">
        <f>+Funding!CN8</f>
        <v>0</v>
      </c>
      <c r="CK8" s="613"/>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row>
    <row r="9" spans="1:150" s="65" customFormat="1" ht="18.75" customHeight="1" x14ac:dyDescent="0.25">
      <c r="A9" s="2431" t="s">
        <v>32</v>
      </c>
      <c r="B9" s="2431"/>
      <c r="C9" s="2431"/>
      <c r="D9" s="2431"/>
      <c r="E9" s="2431"/>
      <c r="F9" s="2431"/>
      <c r="G9" s="2431"/>
      <c r="H9" s="1"/>
      <c r="I9" s="2420">
        <f>+L9-X8</f>
        <v>-100000</v>
      </c>
      <c r="J9" s="2421"/>
      <c r="K9" s="2424"/>
      <c r="L9" s="2420">
        <f>+O9-X8</f>
        <v>-50000</v>
      </c>
      <c r="M9" s="2421"/>
      <c r="N9" s="2421"/>
      <c r="O9" s="2436">
        <f>+Funding!G11</f>
        <v>0</v>
      </c>
      <c r="P9" s="2437"/>
      <c r="Q9" s="2438"/>
      <c r="R9" s="2421">
        <f>+O9+X8</f>
        <v>50000</v>
      </c>
      <c r="S9" s="2421"/>
      <c r="T9" s="2424"/>
      <c r="U9" s="2420">
        <f>+R9+X8</f>
        <v>100000</v>
      </c>
      <c r="V9" s="2421"/>
      <c r="W9" s="2424"/>
      <c r="X9" s="2420">
        <f>+U9+X8</f>
        <v>150000</v>
      </c>
      <c r="Y9" s="2421"/>
      <c r="Z9" s="2424"/>
      <c r="AA9" s="21"/>
      <c r="AC9" s="135"/>
      <c r="AD9" s="147" t="s">
        <v>41</v>
      </c>
      <c r="AE9" s="134" t="str">
        <f>+Settings!W6</f>
        <v>Varies</v>
      </c>
      <c r="AF9" s="134">
        <f>+Settings!X6</f>
        <v>175</v>
      </c>
      <c r="AG9" s="134" t="str">
        <f t="shared" ref="AG9:AL9" si="2">IF(AND(BX13&gt;=75000,BX13&lt;540000),1050+3.5*INT((BX13-74901)/100),IF(AND(BX13&gt;=540000,BX13&lt;1000000),17325+4.5*INT((BX13-539901)/100),IF(BX13&gt;=1000000,38025+5.75*INT((BX13-999901)/100),"Check")))</f>
        <v>Check</v>
      </c>
      <c r="AH9" s="804" t="str">
        <f t="shared" si="2"/>
        <v>Check</v>
      </c>
      <c r="AI9" s="809" t="str">
        <f t="shared" si="2"/>
        <v>Check</v>
      </c>
      <c r="AJ9" s="806" t="str">
        <f t="shared" si="2"/>
        <v>Check</v>
      </c>
      <c r="AK9" s="134">
        <f t="shared" si="2"/>
        <v>1925</v>
      </c>
      <c r="AL9" s="134">
        <f t="shared" si="2"/>
        <v>3675</v>
      </c>
      <c r="AM9" s="94"/>
      <c r="AN9" s="135"/>
      <c r="AO9" s="135"/>
      <c r="AP9" s="135"/>
      <c r="AQ9" s="135"/>
      <c r="AR9" s="135"/>
      <c r="AS9" s="135"/>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
      <c r="BR9" s="1"/>
      <c r="BS9" s="1"/>
      <c r="BT9" s="1"/>
      <c r="BU9" s="1"/>
      <c r="BV9" s="1"/>
      <c r="BW9" s="1"/>
      <c r="BX9" s="1"/>
      <c r="BY9" s="1"/>
      <c r="BZ9" s="1"/>
      <c r="CA9" s="1"/>
      <c r="CB9" s="1"/>
      <c r="CC9" s="1"/>
      <c r="CD9" s="1"/>
      <c r="CE9" s="613">
        <f>+Funding!CI9</f>
        <v>85000</v>
      </c>
      <c r="CF9" s="613">
        <f>+Funding!CJ9</f>
        <v>160</v>
      </c>
      <c r="CG9" s="613">
        <f>+Funding!CK9</f>
        <v>0</v>
      </c>
      <c r="CH9" s="613">
        <f>+Funding!CL9</f>
        <v>430</v>
      </c>
      <c r="CI9" s="613"/>
      <c r="CJ9" s="613">
        <f>+Funding!CN9</f>
        <v>86</v>
      </c>
      <c r="CK9" s="225"/>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row>
    <row r="10" spans="1:150" s="1" customFormat="1" ht="18.75" customHeight="1" x14ac:dyDescent="0.25">
      <c r="A10" s="2431" t="s">
        <v>33</v>
      </c>
      <c r="B10" s="2431"/>
      <c r="C10" s="2431"/>
      <c r="D10" s="2431"/>
      <c r="E10" s="2431"/>
      <c r="F10" s="2431"/>
      <c r="G10" s="2431"/>
      <c r="H10" s="65"/>
      <c r="I10" s="2487" t="str">
        <f>+L10</f>
        <v>NSW</v>
      </c>
      <c r="J10" s="2488"/>
      <c r="K10" s="2489"/>
      <c r="L10" s="2487" t="str">
        <f>+O10</f>
        <v>NSW</v>
      </c>
      <c r="M10" s="2488"/>
      <c r="N10" s="2488"/>
      <c r="O10" s="2439" t="str">
        <f>+Funding!E12</f>
        <v>NSW</v>
      </c>
      <c r="P10" s="2423"/>
      <c r="Q10" s="2440"/>
      <c r="R10" s="2488" t="str">
        <f>+O10</f>
        <v>NSW</v>
      </c>
      <c r="S10" s="2488"/>
      <c r="T10" s="2489"/>
      <c r="U10" s="2487" t="str">
        <f>+R10</f>
        <v>NSW</v>
      </c>
      <c r="V10" s="2488"/>
      <c r="W10" s="2489"/>
      <c r="X10" s="2487" t="str">
        <f>+U10</f>
        <v>NSW</v>
      </c>
      <c r="Y10" s="2488"/>
      <c r="Z10" s="2489"/>
      <c r="AA10" s="21"/>
      <c r="AC10" s="146"/>
      <c r="AD10" s="147" t="s">
        <v>43</v>
      </c>
      <c r="AE10" s="134" t="str">
        <f>+Settings!W7</f>
        <v>Varies</v>
      </c>
      <c r="AF10" s="134">
        <f>+Settings!X7</f>
        <v>157</v>
      </c>
      <c r="AG10" s="134" t="str">
        <f t="shared" ref="AG10:AL10" si="3">IF(AND(BX13&gt;=100000,BX13&lt;200000),2830+4*INT((BX13-99901)/100),IF(AND(BX13&gt;=200000,BX13&lt;250000),6830+4.5*INT((BX13-199901)/100),IF(AND(BX13&gt;=250000,BX13&lt;300000),8995+4.75*INT((BX13-249901)/100),IF(AND(BX13&gt;=300000,BX13&lt;500000),11330+5*INT((BX13-299901)/100),IF(BX13&gt;=500000,21330+5.5*INT((BX13-499901)/100),"Check")))))</f>
        <v>Check</v>
      </c>
      <c r="AH10" s="804" t="str">
        <f t="shared" si="3"/>
        <v>Check</v>
      </c>
      <c r="AI10" s="809" t="str">
        <f t="shared" si="3"/>
        <v>Check</v>
      </c>
      <c r="AJ10" s="806" t="str">
        <f t="shared" si="3"/>
        <v>Check</v>
      </c>
      <c r="AK10" s="134">
        <f t="shared" si="3"/>
        <v>2830</v>
      </c>
      <c r="AL10" s="134">
        <f t="shared" si="3"/>
        <v>4830</v>
      </c>
      <c r="AM10" s="94"/>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65"/>
      <c r="BR10" s="65"/>
      <c r="BS10" s="65"/>
      <c r="BT10" s="65"/>
      <c r="BU10" s="65"/>
      <c r="BV10" s="65"/>
      <c r="BW10" s="65"/>
      <c r="BX10" s="65"/>
      <c r="BY10" s="65"/>
      <c r="BZ10" s="65"/>
      <c r="CA10" s="65"/>
      <c r="CB10" s="65"/>
      <c r="CC10" s="65"/>
      <c r="CD10" s="65"/>
      <c r="CE10" s="613">
        <f>+Funding!CI10</f>
        <v>120000</v>
      </c>
      <c r="CF10" s="613">
        <f>+Funding!CJ10</f>
        <v>170</v>
      </c>
      <c r="CG10" s="613">
        <f>+Funding!CK10</f>
        <v>0</v>
      </c>
      <c r="CH10" s="613">
        <f>+Funding!CL10</f>
        <v>627</v>
      </c>
      <c r="CI10" s="613"/>
      <c r="CJ10" s="613">
        <f>+Funding!CN10</f>
        <v>197</v>
      </c>
      <c r="CK10" s="102"/>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row>
    <row r="11" spans="1:150" s="1" customFormat="1" ht="18.75" customHeight="1" x14ac:dyDescent="0.25">
      <c r="A11" s="2431" t="s">
        <v>38</v>
      </c>
      <c r="B11" s="2431"/>
      <c r="C11" s="2431"/>
      <c r="D11" s="2431"/>
      <c r="E11" s="2431"/>
      <c r="F11" s="2431"/>
      <c r="G11" s="2431"/>
      <c r="I11" s="1680" t="str">
        <f>LOOKUP(I10,$AD$7:AG13)</f>
        <v>NO DUTY</v>
      </c>
      <c r="J11" s="1681"/>
      <c r="K11" s="1682"/>
      <c r="L11" s="1680" t="str">
        <f>LOOKUP(L10,$AD$7:AH13)</f>
        <v>NO DUTY</v>
      </c>
      <c r="M11" s="1681"/>
      <c r="N11" s="1681"/>
      <c r="O11" s="2441" t="str">
        <f>LOOKUP(O10,$AD$7:AI13)</f>
        <v>NO DUTY</v>
      </c>
      <c r="P11" s="1681"/>
      <c r="Q11" s="2442"/>
      <c r="R11" s="1681" t="str">
        <f>LOOKUP(R10,$AD$7:AJ13)</f>
        <v>NO DUTY</v>
      </c>
      <c r="S11" s="1681"/>
      <c r="T11" s="1682"/>
      <c r="U11" s="1680">
        <f>LOOKUP(U10,AD7:AD14,AK7:AK14)</f>
        <v>1990</v>
      </c>
      <c r="V11" s="1681"/>
      <c r="W11" s="1682"/>
      <c r="X11" s="1680">
        <f>LOOKUP(X10,AD7:AD13,AL7:AL13)</f>
        <v>3740</v>
      </c>
      <c r="Y11" s="1681"/>
      <c r="Z11" s="1682"/>
      <c r="AA11" s="21"/>
      <c r="AC11" s="135"/>
      <c r="AD11" s="147" t="s">
        <v>44</v>
      </c>
      <c r="AE11" s="134">
        <f>+Settings!W8</f>
        <v>200</v>
      </c>
      <c r="AF11" s="134">
        <f>+Settings!X8</f>
        <v>131</v>
      </c>
      <c r="AG11" s="134" t="str">
        <f t="shared" ref="AG11:AL11" si="4">IF(AND(BX13&gt;=75000,BX13&lt;200000),1559+3.5*INT((BX13-79901)/100),IF(AND(BX13&gt;=200000,BX13&lt;375000),5934+4*INT((BX13-199901)/100),IF(AND(BX13&gt;=375000,BX13&lt;725000),12934+4.25*INT((BX13-374901)/100),IF(BX13&gt;=725000,27809+4.5*INT((BX13-724901)/100),"Check"))))</f>
        <v>Check</v>
      </c>
      <c r="AH11" s="134" t="str">
        <f t="shared" si="4"/>
        <v>Check</v>
      </c>
      <c r="AI11" s="809" t="str">
        <f t="shared" si="4"/>
        <v>Check</v>
      </c>
      <c r="AJ11" s="134" t="str">
        <f t="shared" si="4"/>
        <v>Check</v>
      </c>
      <c r="AK11" s="134">
        <f t="shared" si="4"/>
        <v>2259</v>
      </c>
      <c r="AL11" s="134">
        <f t="shared" si="4"/>
        <v>4009</v>
      </c>
      <c r="AM11" s="135"/>
      <c r="AN11" s="135"/>
      <c r="AO11" s="135"/>
      <c r="AP11" s="135"/>
      <c r="AQ11" s="135"/>
      <c r="AR11" s="135"/>
      <c r="AS11" s="135"/>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X11" s="817"/>
      <c r="BY11" s="818"/>
      <c r="BZ11" s="818" t="s">
        <v>253</v>
      </c>
      <c r="CA11" s="818"/>
      <c r="CB11" s="818"/>
      <c r="CC11" s="819"/>
      <c r="CE11" s="613">
        <f>+Funding!CI11</f>
        <v>200000</v>
      </c>
      <c r="CF11" s="613">
        <f>+Funding!CJ11</f>
        <v>190</v>
      </c>
      <c r="CG11" s="613">
        <f>+Funding!CK11</f>
        <v>0</v>
      </c>
      <c r="CH11" s="613">
        <f>+Funding!CL11</f>
        <v>873</v>
      </c>
      <c r="CI11" s="613"/>
      <c r="CJ11" s="613">
        <f>+Funding!CN11</f>
        <v>246</v>
      </c>
      <c r="CK11" s="102"/>
    </row>
    <row r="12" spans="1:150" s="1" customFormat="1" ht="18.75" customHeight="1" x14ac:dyDescent="0.25">
      <c r="A12" s="2431" t="s">
        <v>40</v>
      </c>
      <c r="B12" s="2431"/>
      <c r="C12" s="2431"/>
      <c r="D12" s="2431"/>
      <c r="E12" s="2431"/>
      <c r="F12" s="2431"/>
      <c r="G12" s="2431"/>
      <c r="H12" s="65"/>
      <c r="I12" s="1680">
        <f>LOOKUP(I10,$AD$7:$AF$13)</f>
        <v>136</v>
      </c>
      <c r="J12" s="1681"/>
      <c r="K12" s="1682"/>
      <c r="L12" s="1680">
        <f>LOOKUP(L10,$AD$7:$AF$13)</f>
        <v>136</v>
      </c>
      <c r="M12" s="1681"/>
      <c r="N12" s="1681"/>
      <c r="O12" s="2441">
        <f>LOOKUP(O10,$AD$7:$AF$13)</f>
        <v>136</v>
      </c>
      <c r="P12" s="1681"/>
      <c r="Q12" s="2442"/>
      <c r="R12" s="1681">
        <f>LOOKUP(R10,$AD$7:$AF$13)</f>
        <v>136</v>
      </c>
      <c r="S12" s="1681"/>
      <c r="T12" s="1682"/>
      <c r="U12" s="1681">
        <f>LOOKUP(U10,$AD$7:$AF$13)</f>
        <v>136</v>
      </c>
      <c r="V12" s="1681"/>
      <c r="W12" s="1682"/>
      <c r="X12" s="1680">
        <f>LOOKUP(X10,$AD$7:$AF$13)</f>
        <v>136</v>
      </c>
      <c r="Y12" s="1681"/>
      <c r="Z12" s="1682"/>
      <c r="AA12" s="21"/>
      <c r="AC12" s="135"/>
      <c r="AD12" s="147" t="s">
        <v>45</v>
      </c>
      <c r="AE12" s="134">
        <f>IF(AI5&lt;500000,131.6+INT(+BX13/1000)*2.46,1362)</f>
        <v>-114.4</v>
      </c>
      <c r="AF12" s="134">
        <f>+Settings!X9</f>
        <v>112.6</v>
      </c>
      <c r="AG12" s="134" t="str">
        <f t="shared" ref="AG12:AL12" si="5">IF(AND(BX13&gt;=0,BX13&lt;25000),0+INT(BX13*0.014),IF(AND(BX13&gt;=25000,BX13&lt;130000),350+INT((BX13-24999)*0.024),IF(AND(BX13&gt;=130000,BX13&lt;960000),2870+INT((BX13-129999)*0.06),IF(BX13&gt;=960000,INT((BX13)*0.05),"Check"))))</f>
        <v>Check</v>
      </c>
      <c r="AH12" s="804" t="str">
        <f t="shared" si="5"/>
        <v>Check</v>
      </c>
      <c r="AI12" s="809">
        <f t="shared" si="5"/>
        <v>0</v>
      </c>
      <c r="AJ12" s="806">
        <f t="shared" si="5"/>
        <v>950</v>
      </c>
      <c r="AK12" s="134">
        <f t="shared" si="5"/>
        <v>2150</v>
      </c>
      <c r="AL12" s="134">
        <f t="shared" si="5"/>
        <v>4070</v>
      </c>
      <c r="AM12" s="135"/>
      <c r="AN12" s="135"/>
      <c r="AO12" s="135"/>
      <c r="AP12" s="135"/>
      <c r="AQ12" s="135"/>
      <c r="AR12" s="135"/>
      <c r="AS12" s="135"/>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Z12" s="816"/>
      <c r="CE12" s="613">
        <f>+Funding!CI12</f>
        <v>300000</v>
      </c>
      <c r="CF12" s="613">
        <f>+Funding!CJ12</f>
        <v>210</v>
      </c>
      <c r="CG12" s="613">
        <f>+Funding!CK12</f>
        <v>0</v>
      </c>
      <c r="CH12" s="613">
        <f>+Funding!CL12</f>
        <v>1119</v>
      </c>
      <c r="CI12" s="613"/>
      <c r="CJ12" s="613">
        <f>+Funding!CN12</f>
        <v>246</v>
      </c>
    </row>
    <row r="13" spans="1:150" s="1" customFormat="1" ht="18.75" customHeight="1" x14ac:dyDescent="0.25">
      <c r="A13" s="2431" t="s">
        <v>213</v>
      </c>
      <c r="B13" s="2431"/>
      <c r="C13" s="2431"/>
      <c r="D13" s="2431"/>
      <c r="E13" s="2431"/>
      <c r="F13" s="2431"/>
      <c r="G13" s="2431"/>
      <c r="I13" s="1680">
        <f>LOOKUP(I10,$AD$7:$AE$13)</f>
        <v>272</v>
      </c>
      <c r="J13" s="1681"/>
      <c r="K13" s="1682"/>
      <c r="L13" s="1680">
        <f>LOOKUP(L10,$AD$7:$AE$13)</f>
        <v>272</v>
      </c>
      <c r="M13" s="1681"/>
      <c r="N13" s="1681"/>
      <c r="O13" s="2441">
        <f>LOOKUP(O10,$AD$7:$AE$13)</f>
        <v>272</v>
      </c>
      <c r="P13" s="1681"/>
      <c r="Q13" s="2442"/>
      <c r="R13" s="1681">
        <f>LOOKUP(R10,$AD$7:$AE$13)</f>
        <v>272</v>
      </c>
      <c r="S13" s="1681"/>
      <c r="T13" s="1682"/>
      <c r="U13" s="1680">
        <f>LOOKUP(U10,$AD$7:$AE$13)</f>
        <v>272</v>
      </c>
      <c r="V13" s="1681"/>
      <c r="W13" s="1682"/>
      <c r="X13" s="1680">
        <f>LOOKUP(X10,$AD$7:$AE$13)</f>
        <v>272</v>
      </c>
      <c r="Y13" s="1681"/>
      <c r="Z13" s="1682"/>
      <c r="AA13" s="21"/>
      <c r="AC13" s="135"/>
      <c r="AD13" s="147" t="s">
        <v>47</v>
      </c>
      <c r="AE13" s="134" t="str">
        <f>+Settings!W10</f>
        <v>Varies</v>
      </c>
      <c r="AF13" s="134">
        <f>+Settings!X10</f>
        <v>165.8</v>
      </c>
      <c r="AG13" s="134" t="str">
        <f t="shared" ref="AG13:AL13" si="6">IF(AND(BX13&gt;=0,BX13&lt;80000),1.9*INT((BX13)/100),IF(AND(BX13&gt;=80000,BX13&lt;100000),1520+2.85*INT((BX13-79901)/100),IF(AND(BX13&gt;=100000,BX13&lt;250000),2090+3.8*INT((BX13-99901)/100),IF(AND(BX13&gt;=250000,BX13&lt;500000),7790+4.75*INT((BX13-249901)/100),IF(BX13&gt;=500000,19665+5.15*INT((BX13-499901)/100),"Check")))))</f>
        <v>Check</v>
      </c>
      <c r="AH13" s="134" t="str">
        <f t="shared" si="6"/>
        <v>Check</v>
      </c>
      <c r="AI13" s="809">
        <f t="shared" si="6"/>
        <v>0</v>
      </c>
      <c r="AJ13" s="134">
        <f t="shared" si="6"/>
        <v>950</v>
      </c>
      <c r="AK13" s="134">
        <f t="shared" si="6"/>
        <v>2090</v>
      </c>
      <c r="AL13" s="134">
        <f t="shared" si="6"/>
        <v>3990</v>
      </c>
      <c r="AM13" s="135"/>
      <c r="AN13" s="135"/>
      <c r="AO13" s="135"/>
      <c r="AP13" s="135"/>
      <c r="AQ13" s="135"/>
      <c r="AR13" s="135"/>
      <c r="AS13" s="135"/>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X13" s="813">
        <f t="shared" ref="BX13:CC13" si="7">+AG5</f>
        <v>-100000</v>
      </c>
      <c r="BY13" s="813">
        <f t="shared" si="7"/>
        <v>-50000</v>
      </c>
      <c r="BZ13" s="814">
        <f t="shared" si="7"/>
        <v>0</v>
      </c>
      <c r="CA13" s="813">
        <f t="shared" si="7"/>
        <v>50000</v>
      </c>
      <c r="CB13" s="813">
        <f t="shared" si="7"/>
        <v>100000</v>
      </c>
      <c r="CC13" s="813">
        <f t="shared" si="7"/>
        <v>150000</v>
      </c>
      <c r="CD13" s="813"/>
      <c r="CE13" s="613">
        <f>+Funding!CI13</f>
        <v>400000</v>
      </c>
      <c r="CF13" s="613">
        <f>+Funding!CJ13</f>
        <v>230</v>
      </c>
      <c r="CG13" s="613">
        <f>+Funding!CK13</f>
        <v>0</v>
      </c>
      <c r="CH13" s="613">
        <f>+Funding!CL13</f>
        <v>1362</v>
      </c>
      <c r="CI13" s="613"/>
      <c r="CJ13" s="613">
        <f>+Funding!CN13</f>
        <v>243</v>
      </c>
      <c r="CK13" s="65"/>
      <c r="CL13" s="813"/>
      <c r="CM13" s="813"/>
    </row>
    <row r="14" spans="1:150" s="1" customFormat="1" ht="18.75" customHeight="1" thickBot="1" x14ac:dyDescent="0.3">
      <c r="A14" s="2431" t="s">
        <v>42</v>
      </c>
      <c r="B14" s="2431"/>
      <c r="C14" s="2431"/>
      <c r="D14" s="2431"/>
      <c r="E14" s="2431"/>
      <c r="F14" s="2431"/>
      <c r="G14" s="2431"/>
      <c r="H14" s="65"/>
      <c r="I14" s="1680">
        <f>+L14</f>
        <v>1650</v>
      </c>
      <c r="J14" s="1681"/>
      <c r="K14" s="1682"/>
      <c r="L14" s="1680">
        <f>+O14</f>
        <v>1650</v>
      </c>
      <c r="M14" s="1681"/>
      <c r="N14" s="1681"/>
      <c r="O14" s="2441">
        <f>+Funding!G20</f>
        <v>1650</v>
      </c>
      <c r="P14" s="1681"/>
      <c r="Q14" s="2442"/>
      <c r="R14" s="1681">
        <f>+O14</f>
        <v>1650</v>
      </c>
      <c r="S14" s="1681"/>
      <c r="T14" s="1682"/>
      <c r="U14" s="1680">
        <f>+R14</f>
        <v>1650</v>
      </c>
      <c r="V14" s="1681"/>
      <c r="W14" s="1682"/>
      <c r="X14" s="1680">
        <f>+U14</f>
        <v>1650</v>
      </c>
      <c r="Y14" s="1681"/>
      <c r="Z14" s="1682"/>
      <c r="AA14" s="21"/>
      <c r="AC14" s="135"/>
      <c r="AD14" s="147" t="s">
        <v>48</v>
      </c>
      <c r="AE14" s="134">
        <f>+Settings!W11</f>
        <v>142</v>
      </c>
      <c r="AF14" s="134">
        <f>+Settings!X11</f>
        <v>142</v>
      </c>
      <c r="AG14" s="134" t="str">
        <f t="shared" ref="AG14:AL14" si="8">IF(AND(BX13&gt;=0,BX13&lt;525000),(0.06571441*(INT(BX13/1000)*INT(BX13/1000))+(15*INT(BX13/1000))),IF(AND(BX13&gt;=525000,BX13&lt;3000000),4.95*INT((BX13)/100),IF(BX13&gt;=3000000,5.45*INT((BX13)/100),"Check")))</f>
        <v>Check</v>
      </c>
      <c r="AH14" s="134" t="str">
        <f t="shared" si="8"/>
        <v>Check</v>
      </c>
      <c r="AI14" s="809">
        <f t="shared" si="8"/>
        <v>0</v>
      </c>
      <c r="AJ14" s="134">
        <f t="shared" si="8"/>
        <v>914.286025</v>
      </c>
      <c r="AK14" s="134">
        <f t="shared" si="8"/>
        <v>2157.1441</v>
      </c>
      <c r="AL14" s="134">
        <f t="shared" si="8"/>
        <v>3728.5742250000003</v>
      </c>
      <c r="AM14" s="135"/>
      <c r="AN14" s="135"/>
      <c r="AO14" s="135"/>
      <c r="AP14" s="135"/>
      <c r="AQ14" s="135"/>
      <c r="AR14" s="135"/>
      <c r="AS14" s="135"/>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Z14" s="815"/>
      <c r="CE14" s="613">
        <f>+Funding!CI14</f>
        <v>500000</v>
      </c>
      <c r="CF14" s="613">
        <f>+Funding!CJ14</f>
        <v>250</v>
      </c>
      <c r="CG14" s="613">
        <f>+Funding!CK14</f>
        <v>0</v>
      </c>
      <c r="CH14" s="613">
        <f>+Funding!CL14</f>
        <v>0</v>
      </c>
      <c r="CI14" s="613"/>
      <c r="CJ14" s="613">
        <f>+Funding!CN14</f>
        <v>0</v>
      </c>
    </row>
    <row r="15" spans="1:150" s="1" customFormat="1" ht="18.75" customHeight="1" thickTop="1" x14ac:dyDescent="0.25">
      <c r="A15" s="2431" t="s">
        <v>207</v>
      </c>
      <c r="B15" s="2431"/>
      <c r="C15" s="2431"/>
      <c r="D15" s="2431"/>
      <c r="E15" s="2431"/>
      <c r="F15" s="2431"/>
      <c r="G15" s="2431"/>
      <c r="I15" s="1680">
        <f>+L15</f>
        <v>400</v>
      </c>
      <c r="J15" s="1681"/>
      <c r="K15" s="1682"/>
      <c r="L15" s="1680">
        <f>+O15</f>
        <v>400</v>
      </c>
      <c r="M15" s="1681"/>
      <c r="N15" s="1681"/>
      <c r="O15" s="2441">
        <f>+SUM(Funding!G21:I24)</f>
        <v>400</v>
      </c>
      <c r="P15" s="1681"/>
      <c r="Q15" s="2442"/>
      <c r="R15" s="1681">
        <f>+O15</f>
        <v>400</v>
      </c>
      <c r="S15" s="1681"/>
      <c r="T15" s="1682"/>
      <c r="U15" s="1680">
        <f>+R15</f>
        <v>400</v>
      </c>
      <c r="V15" s="1681"/>
      <c r="W15" s="1682"/>
      <c r="X15" s="1680">
        <f>+U15</f>
        <v>400</v>
      </c>
      <c r="Y15" s="1681"/>
      <c r="Z15" s="1682"/>
      <c r="AA15" s="21"/>
      <c r="AC15" s="135"/>
      <c r="AD15" s="135"/>
      <c r="AE15" s="135"/>
      <c r="AF15" s="135"/>
      <c r="AG15" s="135"/>
      <c r="AH15" s="135"/>
      <c r="AI15" s="810"/>
      <c r="AJ15" s="135"/>
      <c r="AK15" s="135"/>
      <c r="AL15" s="135"/>
      <c r="AM15" s="135"/>
      <c r="AN15" s="135"/>
      <c r="AO15" s="135"/>
      <c r="AP15" s="135"/>
      <c r="AQ15" s="135"/>
      <c r="AR15" s="135"/>
      <c r="AS15" s="135"/>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CE15" s="613">
        <f>+Funding!CI15</f>
        <v>600000</v>
      </c>
      <c r="CF15" s="613">
        <f>+Funding!CJ15</f>
        <v>270</v>
      </c>
      <c r="CG15" s="613">
        <f>+Funding!CK15</f>
        <v>0</v>
      </c>
      <c r="CH15" s="613">
        <f>+Funding!CL15</f>
        <v>0</v>
      </c>
      <c r="CI15" s="613"/>
      <c r="CJ15" s="613">
        <f>+Funding!CN15</f>
        <v>0</v>
      </c>
      <c r="CK15" s="65"/>
    </row>
    <row r="16" spans="1:150" s="1" customFormat="1" ht="18.75" customHeight="1" x14ac:dyDescent="0.25">
      <c r="A16" s="2431" t="s">
        <v>212</v>
      </c>
      <c r="B16" s="2431"/>
      <c r="C16" s="2431"/>
      <c r="D16" s="2431"/>
      <c r="E16" s="2431"/>
      <c r="F16" s="2431"/>
      <c r="G16" s="2431"/>
      <c r="I16" s="1680"/>
      <c r="J16" s="1681"/>
      <c r="K16" s="1682"/>
      <c r="L16" s="1680"/>
      <c r="M16" s="1681"/>
      <c r="N16" s="1681"/>
      <c r="O16" s="2441">
        <f>+Funding!G25</f>
        <v>0</v>
      </c>
      <c r="P16" s="1681"/>
      <c r="Q16" s="2442"/>
      <c r="R16" s="1681"/>
      <c r="S16" s="1681"/>
      <c r="T16" s="1682"/>
      <c r="U16" s="1680"/>
      <c r="V16" s="1681"/>
      <c r="W16" s="1682"/>
      <c r="X16" s="1680"/>
      <c r="Y16" s="1681"/>
      <c r="Z16" s="1682"/>
      <c r="AA16" s="51"/>
      <c r="AC16" s="135"/>
      <c r="AD16" s="872"/>
      <c r="AE16" s="132"/>
      <c r="AF16" s="132"/>
      <c r="AG16" s="145">
        <f t="shared" ref="AG16:AL16" si="9">+AG5</f>
        <v>-100000</v>
      </c>
      <c r="AH16" s="145">
        <f t="shared" si="9"/>
        <v>-50000</v>
      </c>
      <c r="AI16" s="811">
        <f t="shared" si="9"/>
        <v>0</v>
      </c>
      <c r="AJ16" s="145">
        <f t="shared" si="9"/>
        <v>50000</v>
      </c>
      <c r="AK16" s="145">
        <f t="shared" si="9"/>
        <v>100000</v>
      </c>
      <c r="AL16" s="145">
        <f t="shared" si="9"/>
        <v>150000</v>
      </c>
      <c r="AM16" s="135"/>
      <c r="AN16" s="135"/>
      <c r="AO16" s="135"/>
      <c r="AP16" s="135"/>
      <c r="AQ16" s="135"/>
      <c r="AR16" s="135"/>
      <c r="AS16" s="135"/>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CE16" s="613">
        <f>+Funding!CI16</f>
        <v>700000</v>
      </c>
      <c r="CF16" s="613">
        <f>+Funding!CJ16</f>
        <v>290</v>
      </c>
      <c r="CG16" s="613">
        <f>+Funding!CK16</f>
        <v>0</v>
      </c>
      <c r="CH16" s="613">
        <f>+Funding!CL16</f>
        <v>0</v>
      </c>
      <c r="CI16" s="613"/>
      <c r="CJ16" s="613">
        <f>+Funding!CN16</f>
        <v>0</v>
      </c>
    </row>
    <row r="17" spans="1:88" s="1" customFormat="1" ht="18.75" customHeight="1" x14ac:dyDescent="0.25">
      <c r="A17" s="2497" t="s">
        <v>214</v>
      </c>
      <c r="B17" s="2497"/>
      <c r="C17" s="2497"/>
      <c r="D17" s="2497"/>
      <c r="E17" s="2497"/>
      <c r="F17" s="2497"/>
      <c r="G17" s="2497"/>
      <c r="I17" s="1787">
        <f>SUM(I9:K16)</f>
        <v>-97542</v>
      </c>
      <c r="J17" s="1787"/>
      <c r="K17" s="1787"/>
      <c r="L17" s="1787">
        <f>SUM(L9:N16)</f>
        <v>-47542</v>
      </c>
      <c r="M17" s="1787"/>
      <c r="N17" s="2491"/>
      <c r="O17" s="2492">
        <f>SUM(O9:Q16)</f>
        <v>2458</v>
      </c>
      <c r="P17" s="1787"/>
      <c r="Q17" s="2493"/>
      <c r="R17" s="2494">
        <f>SUM(R9:T16)</f>
        <v>52458</v>
      </c>
      <c r="S17" s="1787"/>
      <c r="T17" s="1787"/>
      <c r="U17" s="1787">
        <f>SUM(U9:W16)</f>
        <v>104448</v>
      </c>
      <c r="V17" s="1787"/>
      <c r="W17" s="1787"/>
      <c r="X17" s="1787">
        <f>SUM(X9:Z16)</f>
        <v>156198</v>
      </c>
      <c r="Y17" s="1787"/>
      <c r="Z17" s="1787"/>
      <c r="AA17" s="51"/>
      <c r="AC17" s="131"/>
      <c r="AD17" s="872"/>
      <c r="AE17" s="132"/>
      <c r="AF17" s="711"/>
      <c r="AG17" s="711" t="s">
        <v>35</v>
      </c>
      <c r="AH17" s="803" t="s">
        <v>35</v>
      </c>
      <c r="AI17" s="808" t="s">
        <v>35</v>
      </c>
      <c r="AJ17" s="805" t="s">
        <v>35</v>
      </c>
      <c r="AK17" s="711" t="s">
        <v>35</v>
      </c>
      <c r="AL17" s="711" t="s">
        <v>35</v>
      </c>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CE17" s="613">
        <f>+Funding!CI17</f>
        <v>800000</v>
      </c>
      <c r="CF17" s="613">
        <f>+Funding!CJ17</f>
        <v>310</v>
      </c>
      <c r="CG17" s="613">
        <f>+Funding!CK17</f>
        <v>0</v>
      </c>
      <c r="CH17" s="613">
        <f>+Funding!CL17</f>
        <v>0</v>
      </c>
      <c r="CI17" s="613"/>
      <c r="CJ17" s="613">
        <f>+Funding!CN17</f>
        <v>0</v>
      </c>
    </row>
    <row r="18" spans="1:88" s="1" customFormat="1" ht="18.75" customHeight="1" x14ac:dyDescent="0.25">
      <c r="A18" s="2431"/>
      <c r="B18" s="2431"/>
      <c r="C18" s="2431"/>
      <c r="D18" s="2431"/>
      <c r="E18" s="2431"/>
      <c r="F18" s="2431"/>
      <c r="G18" s="2431"/>
      <c r="O18" s="486"/>
      <c r="P18" s="73"/>
      <c r="Q18" s="487"/>
      <c r="AA18" s="51"/>
      <c r="AC18" s="131"/>
      <c r="AD18" s="872"/>
      <c r="AE18" s="132"/>
      <c r="AF18" s="147" t="s">
        <v>39</v>
      </c>
      <c r="AG18" s="134">
        <f>+Settings!$W$4</f>
        <v>262</v>
      </c>
      <c r="AH18" s="804">
        <f>+Settings!$W$4</f>
        <v>262</v>
      </c>
      <c r="AI18" s="809">
        <f>+Settings!$W$4</f>
        <v>262</v>
      </c>
      <c r="AJ18" s="806">
        <f>+Settings!$W$4</f>
        <v>262</v>
      </c>
      <c r="AK18" s="134">
        <f>+Settings!$W$4</f>
        <v>262</v>
      </c>
      <c r="AL18" s="134">
        <f>+Settings!$W$4</f>
        <v>262</v>
      </c>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CE18" s="613">
        <f>+Funding!CI18</f>
        <v>900000</v>
      </c>
      <c r="CF18" s="613">
        <f>+Funding!CJ18</f>
        <v>330</v>
      </c>
      <c r="CG18" s="613">
        <f>+Funding!CK18</f>
        <v>0</v>
      </c>
      <c r="CH18" s="613">
        <f>+Funding!CL18</f>
        <v>0</v>
      </c>
      <c r="CI18" s="613"/>
      <c r="CJ18" s="613">
        <f>+Funding!CN18</f>
        <v>0</v>
      </c>
    </row>
    <row r="19" spans="1:88" s="1" customFormat="1" ht="18.75" customHeight="1" thickBot="1" x14ac:dyDescent="0.3">
      <c r="A19" s="2431" t="s">
        <v>50</v>
      </c>
      <c r="B19" s="2431"/>
      <c r="C19" s="2431"/>
      <c r="D19" s="2431"/>
      <c r="E19" s="2431"/>
      <c r="F19" s="2431"/>
      <c r="G19" s="2431"/>
      <c r="I19" s="2550" t="e">
        <f>+I17-I20</f>
        <v>#VALUE!</v>
      </c>
      <c r="J19" s="2550"/>
      <c r="K19" s="2551"/>
      <c r="L19" s="2550" t="e">
        <f>+L17-L20</f>
        <v>#VALUE!</v>
      </c>
      <c r="M19" s="2550"/>
      <c r="N19" s="2551"/>
      <c r="O19" s="2552" t="e">
        <f>+'Bud(LVR)'!O21:Q21</f>
        <v>#VALUE!</v>
      </c>
      <c r="P19" s="2550"/>
      <c r="Q19" s="2553"/>
      <c r="R19" s="2554" t="e">
        <f>+R17-R20</f>
        <v>#VALUE!</v>
      </c>
      <c r="S19" s="2550"/>
      <c r="T19" s="2550"/>
      <c r="U19" s="2554" t="e">
        <f>+U17-U20</f>
        <v>#VALUE!</v>
      </c>
      <c r="V19" s="2550"/>
      <c r="W19" s="2550"/>
      <c r="X19" s="2554" t="e">
        <f>+X17-X20</f>
        <v>#VALUE!</v>
      </c>
      <c r="Y19" s="2550"/>
      <c r="Z19" s="2550"/>
      <c r="AA19" s="51"/>
      <c r="AC19" s="131"/>
      <c r="AD19" s="872"/>
      <c r="AE19" s="132"/>
      <c r="AF19" s="147" t="s">
        <v>34</v>
      </c>
      <c r="AG19" s="134">
        <f>+Settings!$W$5</f>
        <v>272</v>
      </c>
      <c r="AH19" s="804">
        <f>+Settings!$W$5</f>
        <v>272</v>
      </c>
      <c r="AI19" s="809">
        <f>+Settings!$W$5</f>
        <v>272</v>
      </c>
      <c r="AJ19" s="806">
        <f>+Settings!$W$5</f>
        <v>272</v>
      </c>
      <c r="AK19" s="134">
        <f>+Settings!$W$5</f>
        <v>272</v>
      </c>
      <c r="AL19" s="134">
        <f>+Settings!$W$5</f>
        <v>272</v>
      </c>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CE19" s="613">
        <f>+Funding!CI19</f>
        <v>1000000</v>
      </c>
      <c r="CF19" s="613">
        <f>+Funding!CJ19</f>
        <v>350</v>
      </c>
      <c r="CG19" s="613">
        <f>+Funding!CK19</f>
        <v>0</v>
      </c>
      <c r="CH19" s="613">
        <f>+Funding!CL19</f>
        <v>0</v>
      </c>
      <c r="CI19" s="613"/>
      <c r="CJ19" s="613">
        <f>+Funding!CN19</f>
        <v>0</v>
      </c>
    </row>
    <row r="20" spans="1:88" s="1" customFormat="1" ht="18.75" customHeight="1" thickBot="1" x14ac:dyDescent="0.3">
      <c r="A20" s="2476" t="s">
        <v>49</v>
      </c>
      <c r="B20" s="2476"/>
      <c r="C20" s="2476"/>
      <c r="D20" s="2476"/>
      <c r="E20" s="2476"/>
      <c r="F20" s="2476"/>
      <c r="G20" s="2476"/>
      <c r="H20" s="490"/>
      <c r="I20" s="2543" t="e">
        <f>+O20</f>
        <v>#VALUE!</v>
      </c>
      <c r="J20" s="2543"/>
      <c r="K20" s="2543"/>
      <c r="L20" s="2543" t="e">
        <f>+O20</f>
        <v>#VALUE!</v>
      </c>
      <c r="M20" s="2543"/>
      <c r="N20" s="2546"/>
      <c r="O20" s="2547" t="e">
        <f>+O17-O19</f>
        <v>#VALUE!</v>
      </c>
      <c r="P20" s="2548"/>
      <c r="Q20" s="2549"/>
      <c r="R20" s="2542" t="e">
        <f>+O20</f>
        <v>#VALUE!</v>
      </c>
      <c r="S20" s="2543"/>
      <c r="T20" s="2543"/>
      <c r="U20" s="2542" t="e">
        <f>+R20</f>
        <v>#VALUE!</v>
      </c>
      <c r="V20" s="2543"/>
      <c r="W20" s="2543"/>
      <c r="X20" s="2542" t="e">
        <f>+U20</f>
        <v>#VALUE!</v>
      </c>
      <c r="Y20" s="2543"/>
      <c r="Z20" s="2543"/>
      <c r="AA20" s="491"/>
      <c r="AC20" s="131"/>
      <c r="AD20" s="872"/>
      <c r="AE20" s="132"/>
      <c r="AF20" s="147" t="s">
        <v>41</v>
      </c>
      <c r="AG20" s="134" t="s">
        <v>618</v>
      </c>
      <c r="AH20" s="804" t="s">
        <v>618</v>
      </c>
      <c r="AI20" s="809" t="s">
        <v>618</v>
      </c>
      <c r="AJ20" s="806" t="s">
        <v>618</v>
      </c>
      <c r="AK20" s="134" t="s">
        <v>618</v>
      </c>
      <c r="AL20" s="134" t="s">
        <v>618</v>
      </c>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CE20" s="613">
        <f>+Funding!CI20</f>
        <v>1100000</v>
      </c>
      <c r="CF20" s="613">
        <f>+Funding!CJ20</f>
        <v>370</v>
      </c>
      <c r="CG20" s="613">
        <f>+Funding!CK20</f>
        <v>0</v>
      </c>
      <c r="CH20" s="613">
        <f>+Funding!CL20</f>
        <v>0</v>
      </c>
      <c r="CI20" s="613"/>
      <c r="CJ20" s="613">
        <f>+Funding!CN20</f>
        <v>0</v>
      </c>
    </row>
    <row r="21" spans="1:88" s="1" customFormat="1" ht="18.75" customHeight="1" x14ac:dyDescent="0.25">
      <c r="A21" s="2431" t="s">
        <v>54</v>
      </c>
      <c r="B21" s="2431"/>
      <c r="C21" s="2431"/>
      <c r="D21" s="2431"/>
      <c r="E21" s="2431"/>
      <c r="F21" s="2431"/>
      <c r="G21" s="2431"/>
      <c r="I21" s="2525" t="e">
        <f>+I20/I9</f>
        <v>#VALUE!</v>
      </c>
      <c r="J21" s="2525"/>
      <c r="K21" s="2525"/>
      <c r="L21" s="2525" t="e">
        <f>+L20/L9</f>
        <v>#VALUE!</v>
      </c>
      <c r="M21" s="2525"/>
      <c r="N21" s="2526"/>
      <c r="O21" s="2544" t="e">
        <f>+O20/O9</f>
        <v>#VALUE!</v>
      </c>
      <c r="P21" s="2525"/>
      <c r="Q21" s="2545"/>
      <c r="R21" s="2529" t="e">
        <f>+R20/R9</f>
        <v>#VALUE!</v>
      </c>
      <c r="S21" s="2525"/>
      <c r="T21" s="2525"/>
      <c r="U21" s="2525" t="e">
        <f>+U20/U9</f>
        <v>#VALUE!</v>
      </c>
      <c r="V21" s="2525"/>
      <c r="W21" s="2525"/>
      <c r="X21" s="2525" t="e">
        <f>+X20/X9</f>
        <v>#VALUE!</v>
      </c>
      <c r="Y21" s="2525"/>
      <c r="Z21" s="2525"/>
      <c r="AA21" s="51"/>
      <c r="AC21" s="131"/>
      <c r="AD21" s="872"/>
      <c r="AE21" s="132"/>
      <c r="AF21" s="147" t="s">
        <v>43</v>
      </c>
      <c r="AG21" s="134" t="s">
        <v>618</v>
      </c>
      <c r="AH21" s="804" t="s">
        <v>618</v>
      </c>
      <c r="AI21" s="809" t="s">
        <v>618</v>
      </c>
      <c r="AJ21" s="806" t="s">
        <v>618</v>
      </c>
      <c r="AK21" s="134" t="s">
        <v>618</v>
      </c>
      <c r="AL21" s="134" t="s">
        <v>618</v>
      </c>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CE21" s="613">
        <f>+Funding!CI21</f>
        <v>1200000</v>
      </c>
      <c r="CF21" s="613">
        <f>+Funding!CJ21</f>
        <v>390</v>
      </c>
      <c r="CG21" s="613">
        <f>+Funding!CK21</f>
        <v>0</v>
      </c>
      <c r="CH21" s="613">
        <f>+Funding!CL21</f>
        <v>0</v>
      </c>
      <c r="CI21" s="613"/>
      <c r="CJ21" s="613">
        <f>+Funding!CN21</f>
        <v>0</v>
      </c>
    </row>
    <row r="22" spans="1:88" s="1" customFormat="1" ht="18.75" customHeight="1" x14ac:dyDescent="0.25">
      <c r="A22" s="2431"/>
      <c r="B22" s="2431"/>
      <c r="C22" s="2431"/>
      <c r="D22" s="2431"/>
      <c r="E22" s="2431"/>
      <c r="F22" s="2431"/>
      <c r="G22" s="2431"/>
      <c r="I22" s="7"/>
      <c r="J22" s="71"/>
      <c r="K22" s="71"/>
      <c r="L22" s="7"/>
      <c r="M22" s="329"/>
      <c r="N22" s="329"/>
      <c r="O22" s="488"/>
      <c r="P22" s="362"/>
      <c r="Q22" s="489"/>
      <c r="R22" s="327"/>
      <c r="S22" s="327"/>
      <c r="T22" s="328"/>
      <c r="U22" s="71"/>
      <c r="V22" s="71"/>
      <c r="W22" s="71"/>
      <c r="X22" s="71"/>
      <c r="Y22" s="71"/>
      <c r="Z22" s="71"/>
      <c r="AA22" s="51"/>
      <c r="AC22" s="131"/>
      <c r="AD22" s="872"/>
      <c r="AE22" s="132"/>
      <c r="AF22" s="147" t="s">
        <v>44</v>
      </c>
      <c r="AG22" s="134">
        <f>+Settings!$W$8</f>
        <v>200</v>
      </c>
      <c r="AH22" s="804">
        <f>+Settings!$W$8</f>
        <v>200</v>
      </c>
      <c r="AI22" s="809">
        <f>+Settings!$W$8</f>
        <v>200</v>
      </c>
      <c r="AJ22" s="806">
        <f>+Settings!$W$8</f>
        <v>200</v>
      </c>
      <c r="AK22" s="134">
        <f>+Settings!$W$8</f>
        <v>200</v>
      </c>
      <c r="AL22" s="134">
        <f>+Settings!$W$8</f>
        <v>200</v>
      </c>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CE22" s="613">
        <f>+Funding!CI22</f>
        <v>1300000</v>
      </c>
      <c r="CF22" s="613">
        <f>+Funding!CJ22</f>
        <v>410</v>
      </c>
      <c r="CG22" s="613">
        <f>+Funding!CK22</f>
        <v>0</v>
      </c>
      <c r="CH22" s="613">
        <f>+Funding!CL22</f>
        <v>0</v>
      </c>
      <c r="CI22" s="613"/>
      <c r="CJ22" s="613">
        <f>+Funding!CN22</f>
        <v>0</v>
      </c>
    </row>
    <row r="23" spans="1:88" s="1" customFormat="1" ht="18.75" customHeight="1" x14ac:dyDescent="0.25">
      <c r="A23" s="2431" t="s">
        <v>51</v>
      </c>
      <c r="B23" s="2431"/>
      <c r="C23" s="2431"/>
      <c r="D23" s="2431"/>
      <c r="E23" s="2431"/>
      <c r="F23" s="2431"/>
      <c r="G23" s="2431"/>
      <c r="I23" s="2468">
        <f>+L23</f>
        <v>0.04</v>
      </c>
      <c r="J23" s="2468"/>
      <c r="K23" s="2469"/>
      <c r="L23" s="2468">
        <f>+O23</f>
        <v>0.04</v>
      </c>
      <c r="M23" s="2468"/>
      <c r="N23" s="2469"/>
      <c r="O23" s="2474">
        <f>+Funding!E30</f>
        <v>0.04</v>
      </c>
      <c r="P23" s="2468"/>
      <c r="Q23" s="2475"/>
      <c r="R23" s="2480">
        <f>+O23</f>
        <v>0.04</v>
      </c>
      <c r="S23" s="2468"/>
      <c r="T23" s="2468"/>
      <c r="U23" s="2468">
        <f>+R23</f>
        <v>0.04</v>
      </c>
      <c r="V23" s="2468"/>
      <c r="W23" s="2468"/>
      <c r="X23" s="2468">
        <f>+U23</f>
        <v>0.04</v>
      </c>
      <c r="Y23" s="2468"/>
      <c r="Z23" s="2468"/>
      <c r="AA23" s="51"/>
      <c r="AC23" s="131"/>
      <c r="AD23" s="872"/>
      <c r="AE23" s="132"/>
      <c r="AF23" s="147" t="s">
        <v>45</v>
      </c>
      <c r="AG23" s="134">
        <f t="shared" ref="AG23:AL23" si="10">IF(AG16&lt;500000,131.6+INT(+AG16/1000)*2.46,1362)</f>
        <v>-114.4</v>
      </c>
      <c r="AH23" s="804">
        <f t="shared" si="10"/>
        <v>8.5999999999999943</v>
      </c>
      <c r="AI23" s="809">
        <f t="shared" si="10"/>
        <v>131.6</v>
      </c>
      <c r="AJ23" s="806">
        <f t="shared" si="10"/>
        <v>254.6</v>
      </c>
      <c r="AK23" s="134">
        <f t="shared" si="10"/>
        <v>377.6</v>
      </c>
      <c r="AL23" s="134">
        <f t="shared" si="10"/>
        <v>500.6</v>
      </c>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CE23" s="613">
        <f>+Funding!CI23</f>
        <v>1400000</v>
      </c>
      <c r="CF23" s="613">
        <f>+Funding!CJ23</f>
        <v>430</v>
      </c>
      <c r="CG23" s="613">
        <f>+Funding!CK23</f>
        <v>0</v>
      </c>
      <c r="CH23" s="613">
        <f>+Funding!CL23</f>
        <v>0</v>
      </c>
      <c r="CI23" s="613"/>
      <c r="CJ23" s="613">
        <f>+Funding!CN23</f>
        <v>0</v>
      </c>
    </row>
    <row r="24" spans="1:88" s="1" customFormat="1" ht="18.75" customHeight="1" x14ac:dyDescent="0.25">
      <c r="A24" s="2431" t="s">
        <v>233</v>
      </c>
      <c r="B24" s="2431"/>
      <c r="C24" s="2431"/>
      <c r="D24" s="2431"/>
      <c r="E24" s="2431"/>
      <c r="F24" s="2431"/>
      <c r="G24" s="2431"/>
      <c r="I24" s="2458" t="e">
        <f>+I20*I23/12</f>
        <v>#VALUE!</v>
      </c>
      <c r="J24" s="2458"/>
      <c r="K24" s="2458"/>
      <c r="L24" s="2458" t="e">
        <f>+L20*L23/12</f>
        <v>#VALUE!</v>
      </c>
      <c r="M24" s="2458"/>
      <c r="N24" s="2461"/>
      <c r="O24" s="2465" t="e">
        <f>+O20*O23/12</f>
        <v>#VALUE!</v>
      </c>
      <c r="P24" s="2458"/>
      <c r="Q24" s="2466"/>
      <c r="R24" s="2467" t="e">
        <f>+R20*R23/12</f>
        <v>#VALUE!</v>
      </c>
      <c r="S24" s="2458"/>
      <c r="T24" s="2458"/>
      <c r="U24" s="2458" t="e">
        <f>+U20*U23/12</f>
        <v>#VALUE!</v>
      </c>
      <c r="V24" s="2458"/>
      <c r="W24" s="2458"/>
      <c r="X24" s="2458" t="e">
        <f>+X20*X23/12</f>
        <v>#VALUE!</v>
      </c>
      <c r="Y24" s="2458"/>
      <c r="Z24" s="2458"/>
      <c r="AA24" s="51"/>
      <c r="AC24" s="131"/>
      <c r="AD24" s="872"/>
      <c r="AE24" s="132"/>
      <c r="AF24" s="147" t="s">
        <v>47</v>
      </c>
      <c r="AG24" s="134" t="s">
        <v>618</v>
      </c>
      <c r="AH24" s="804" t="s">
        <v>618</v>
      </c>
      <c r="AI24" s="809" t="s">
        <v>618</v>
      </c>
      <c r="AJ24" s="806" t="s">
        <v>618</v>
      </c>
      <c r="AK24" s="134" t="s">
        <v>618</v>
      </c>
      <c r="AL24" s="134" t="s">
        <v>618</v>
      </c>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CE24" s="613">
        <f>+Funding!CI24</f>
        <v>0</v>
      </c>
      <c r="CF24" s="613">
        <f>+Funding!CJ24</f>
        <v>0</v>
      </c>
      <c r="CG24" s="613">
        <f>+Funding!CK24</f>
        <v>0</v>
      </c>
      <c r="CH24" s="613">
        <f>+Funding!CL24</f>
        <v>0</v>
      </c>
      <c r="CI24" s="613"/>
      <c r="CJ24" s="613">
        <f>+Funding!CN24</f>
        <v>0</v>
      </c>
    </row>
    <row r="25" spans="1:88" s="1" customFormat="1" ht="18.75" customHeight="1" x14ac:dyDescent="0.25">
      <c r="A25" s="2431" t="str">
        <f>CONCATENATE("Instalment pm – P&amp;I (",+O26,"y)")</f>
        <v>Instalment pm – P&amp;I (30y)</v>
      </c>
      <c r="B25" s="2431"/>
      <c r="C25" s="2431"/>
      <c r="D25" s="2431"/>
      <c r="E25" s="2431"/>
      <c r="F25" s="2431"/>
      <c r="G25" s="2431"/>
      <c r="I25" s="2458" t="e">
        <f>PMT(I23/12,+O26*12,-I20)</f>
        <v>#VALUE!</v>
      </c>
      <c r="J25" s="2458"/>
      <c r="K25" s="2458"/>
      <c r="L25" s="2458" t="e">
        <f>PMT(L23/12,+O26*12,-L20)</f>
        <v>#VALUE!</v>
      </c>
      <c r="M25" s="2458"/>
      <c r="N25" s="2461"/>
      <c r="O25" s="2465" t="e">
        <f>PMT(O23/12,+O26*12,-O20)</f>
        <v>#VALUE!</v>
      </c>
      <c r="P25" s="2458"/>
      <c r="Q25" s="2466"/>
      <c r="R25" s="2467" t="e">
        <f>PMT(R23/12,+O26*12,-R20)</f>
        <v>#VALUE!</v>
      </c>
      <c r="S25" s="2458"/>
      <c r="T25" s="2458"/>
      <c r="U25" s="2458" t="e">
        <f>PMT(U23/12,+O26*12,-U20)</f>
        <v>#VALUE!</v>
      </c>
      <c r="V25" s="2458"/>
      <c r="W25" s="2458"/>
      <c r="X25" s="2458" t="e">
        <f>PMT(X23/12,+O26*12,-X20)</f>
        <v>#VALUE!</v>
      </c>
      <c r="Y25" s="2458"/>
      <c r="Z25" s="2458"/>
      <c r="AA25" s="51"/>
      <c r="AC25" s="131"/>
      <c r="AD25" s="872"/>
      <c r="AE25" s="132"/>
      <c r="AF25" s="147" t="s">
        <v>48</v>
      </c>
      <c r="AG25" s="134">
        <f>+Settings!$W$11</f>
        <v>142</v>
      </c>
      <c r="AH25" s="804">
        <f>+Settings!$W$11</f>
        <v>142</v>
      </c>
      <c r="AI25" s="809">
        <f>+Settings!$W$11</f>
        <v>142</v>
      </c>
      <c r="AJ25" s="806">
        <f>+Settings!$W$11</f>
        <v>142</v>
      </c>
      <c r="AK25" s="134">
        <f>+Settings!$W$11</f>
        <v>142</v>
      </c>
      <c r="AL25" s="134">
        <f>+Settings!$W$11</f>
        <v>142</v>
      </c>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CE25" s="613">
        <f>+Funding!CI25</f>
        <v>1500000</v>
      </c>
      <c r="CF25" s="613">
        <f>+Funding!CJ25</f>
        <v>450</v>
      </c>
      <c r="CG25" s="613">
        <f>+Funding!CK25</f>
        <v>0</v>
      </c>
      <c r="CH25" s="613">
        <f>+Funding!CL25</f>
        <v>0</v>
      </c>
      <c r="CI25" s="613"/>
      <c r="CJ25" s="613">
        <f>+Funding!CN25</f>
        <v>0</v>
      </c>
    </row>
    <row r="26" spans="1:88" s="1" customFormat="1" ht="18.75" customHeight="1" thickBot="1" x14ac:dyDescent="0.3">
      <c r="A26" s="2555"/>
      <c r="B26" s="2555"/>
      <c r="C26" s="2555"/>
      <c r="D26" s="2555"/>
      <c r="E26" s="2555"/>
      <c r="F26" s="2555"/>
      <c r="G26" s="2555"/>
      <c r="I26" s="2541"/>
      <c r="J26" s="2541"/>
      <c r="K26" s="2541"/>
      <c r="L26" s="2444" t="s">
        <v>275</v>
      </c>
      <c r="M26" s="2444"/>
      <c r="N26" s="2444"/>
      <c r="O26" s="2445">
        <f>+Funding!K31</f>
        <v>30</v>
      </c>
      <c r="P26" s="2446"/>
      <c r="Q26" s="2447"/>
      <c r="R26" s="2448" t="s">
        <v>274</v>
      </c>
      <c r="S26" s="2448"/>
      <c r="T26" s="2448"/>
      <c r="U26" s="2541"/>
      <c r="V26" s="2541"/>
      <c r="W26" s="2541"/>
      <c r="X26" s="2541"/>
      <c r="Y26" s="2541"/>
      <c r="Z26" s="2541"/>
      <c r="AA26" s="51"/>
      <c r="AC26" s="131"/>
      <c r="AD26" s="872"/>
      <c r="AE26" s="132"/>
      <c r="AF26" s="131"/>
      <c r="AG26" s="131"/>
      <c r="AH26" s="131"/>
      <c r="AI26" s="812"/>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CE26" s="613">
        <f>+Funding!CI26</f>
        <v>1600000</v>
      </c>
      <c r="CF26" s="613">
        <f>+Funding!CJ26</f>
        <v>470</v>
      </c>
      <c r="CG26" s="613">
        <f>+Funding!CK26</f>
        <v>0</v>
      </c>
      <c r="CH26" s="613">
        <f>+Funding!CL26</f>
        <v>0</v>
      </c>
      <c r="CI26" s="613"/>
      <c r="CJ26" s="613">
        <f>+Funding!CN26</f>
        <v>0</v>
      </c>
    </row>
    <row r="27" spans="1:88" s="1" customFormat="1" ht="18.75" customHeight="1" thickTop="1" x14ac:dyDescent="0.25">
      <c r="A27" s="2555"/>
      <c r="B27" s="2555"/>
      <c r="C27" s="2555"/>
      <c r="D27" s="2555"/>
      <c r="E27" s="2555"/>
      <c r="F27" s="2555"/>
      <c r="G27" s="2555"/>
      <c r="H27" s="360"/>
      <c r="J27" s="51"/>
      <c r="K27" s="330"/>
      <c r="AA27" s="5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CE27" s="613">
        <f>+Funding!CI27</f>
        <v>1700000</v>
      </c>
      <c r="CF27" s="613">
        <f>+Funding!CJ27</f>
        <v>490</v>
      </c>
      <c r="CG27" s="613">
        <f>+Funding!CK27</f>
        <v>0</v>
      </c>
      <c r="CH27" s="613">
        <f>+Funding!CL27</f>
        <v>0</v>
      </c>
      <c r="CI27" s="613"/>
      <c r="CJ27" s="613">
        <f>+Funding!CN27</f>
        <v>0</v>
      </c>
    </row>
    <row r="28" spans="1:88" s="1" customFormat="1" ht="18.75" customHeight="1" x14ac:dyDescent="0.25">
      <c r="A28" s="2555"/>
      <c r="B28" s="2555"/>
      <c r="C28" s="2555"/>
      <c r="D28" s="2555"/>
      <c r="E28" s="2555"/>
      <c r="F28" s="2555"/>
      <c r="G28" s="2555"/>
      <c r="H28" s="2555"/>
      <c r="I28" s="2555"/>
      <c r="J28" s="2555"/>
      <c r="K28" s="2555"/>
      <c r="AA28" s="5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CE28" s="613">
        <f>+Funding!CI28</f>
        <v>1800000</v>
      </c>
      <c r="CF28" s="613">
        <f>+Funding!CJ28</f>
        <v>510</v>
      </c>
      <c r="CG28" s="613">
        <f>+Funding!CK28</f>
        <v>0</v>
      </c>
      <c r="CH28" s="613">
        <f>+Funding!CL28</f>
        <v>0</v>
      </c>
      <c r="CI28" s="613"/>
      <c r="CJ28" s="613">
        <f>+Funding!CN28</f>
        <v>0</v>
      </c>
    </row>
    <row r="29" spans="1:88" s="1" customFormat="1" ht="18.75" customHeight="1" thickBot="1" x14ac:dyDescent="0.3">
      <c r="A29" s="2555"/>
      <c r="B29" s="2555"/>
      <c r="C29" s="2555"/>
      <c r="D29" s="2555"/>
      <c r="E29" s="2555"/>
      <c r="F29" s="2555"/>
      <c r="G29" s="2555"/>
      <c r="AA29" s="5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CE29" s="613">
        <f>+Funding!CI29</f>
        <v>1900000</v>
      </c>
      <c r="CF29" s="613">
        <f>+Funding!CJ29</f>
        <v>530</v>
      </c>
      <c r="CG29" s="613">
        <f>+Funding!CK29</f>
        <v>0</v>
      </c>
      <c r="CH29" s="613">
        <f>+Funding!CL29</f>
        <v>0</v>
      </c>
      <c r="CI29" s="613"/>
      <c r="CJ29" s="613">
        <f>+Funding!CN29</f>
        <v>0</v>
      </c>
    </row>
    <row r="30" spans="1:88" s="1" customFormat="1" ht="18.75" customHeight="1" thickTop="1" x14ac:dyDescent="0.2">
      <c r="A30" s="2430" t="s">
        <v>245</v>
      </c>
      <c r="B30" s="2430"/>
      <c r="C30" s="2430"/>
      <c r="D30" s="2430"/>
      <c r="E30" s="2430"/>
      <c r="F30" s="2430"/>
      <c r="G30" s="2430"/>
      <c r="H30" s="2430"/>
      <c r="I30" s="2443" t="s">
        <v>244</v>
      </c>
      <c r="J30" s="2443"/>
      <c r="K30" s="2443"/>
      <c r="L30" s="2443" t="s">
        <v>244</v>
      </c>
      <c r="M30" s="2443"/>
      <c r="N30" s="2443"/>
      <c r="O30" s="2449" t="s">
        <v>242</v>
      </c>
      <c r="P30" s="2450"/>
      <c r="Q30" s="2451"/>
      <c r="R30" s="2443" t="s">
        <v>243</v>
      </c>
      <c r="S30" s="2443"/>
      <c r="T30" s="2443"/>
      <c r="U30" s="2443" t="s">
        <v>243</v>
      </c>
      <c r="V30" s="2443"/>
      <c r="W30" s="2443"/>
      <c r="X30" s="2443" t="s">
        <v>243</v>
      </c>
      <c r="Y30" s="2443"/>
      <c r="Z30" s="2443"/>
      <c r="AA30" s="5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CE30" s="613">
        <f>+Funding!CI30</f>
        <v>2000000</v>
      </c>
      <c r="CF30" s="613">
        <f>+Funding!CJ30</f>
        <v>550</v>
      </c>
      <c r="CG30" s="613">
        <f>+Funding!CK30</f>
        <v>0</v>
      </c>
      <c r="CH30" s="613">
        <f>+Funding!CL30</f>
        <v>0</v>
      </c>
      <c r="CI30" s="613"/>
      <c r="CJ30" s="613">
        <f>+Funding!CN30</f>
        <v>0</v>
      </c>
    </row>
    <row r="31" spans="1:88" s="1" customFormat="1" ht="18.75" customHeight="1" x14ac:dyDescent="0.25">
      <c r="A31" s="2431" t="s">
        <v>49</v>
      </c>
      <c r="B31" s="2431"/>
      <c r="C31" s="2431"/>
      <c r="D31" s="2431"/>
      <c r="E31" s="2431"/>
      <c r="F31" s="2431"/>
      <c r="G31" s="2431"/>
      <c r="H31" s="383"/>
      <c r="I31" s="2482" t="e">
        <f>+O20</f>
        <v>#VALUE!</v>
      </c>
      <c r="J31" s="2482"/>
      <c r="K31" s="2482"/>
      <c r="L31" s="2482" t="e">
        <f>+O20</f>
        <v>#VALUE!</v>
      </c>
      <c r="M31" s="2482"/>
      <c r="N31" s="2483"/>
      <c r="O31" s="2484" t="e">
        <f>+O20</f>
        <v>#VALUE!</v>
      </c>
      <c r="P31" s="2482"/>
      <c r="Q31" s="2485"/>
      <c r="R31" s="2486" t="e">
        <f>+O20</f>
        <v>#VALUE!</v>
      </c>
      <c r="S31" s="2482"/>
      <c r="T31" s="2483"/>
      <c r="U31" s="2482" t="e">
        <f>+O20</f>
        <v>#VALUE!</v>
      </c>
      <c r="V31" s="2482"/>
      <c r="W31" s="2483"/>
      <c r="X31" s="2482" t="e">
        <f>+O20</f>
        <v>#VALUE!</v>
      </c>
      <c r="Y31" s="2482"/>
      <c r="Z31" s="2483"/>
      <c r="AA31" s="5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CE31" s="613">
        <f>+Funding!CI31</f>
        <v>99990000</v>
      </c>
      <c r="CF31" s="613">
        <f>+Funding!CJ31</f>
        <v>150</v>
      </c>
      <c r="CG31" s="613">
        <f>+Funding!CK31</f>
        <v>0</v>
      </c>
      <c r="CH31" s="613">
        <f>+Funding!CL31</f>
        <v>0</v>
      </c>
      <c r="CI31" s="613"/>
      <c r="CJ31" s="613">
        <f>+Funding!CN31</f>
        <v>0</v>
      </c>
    </row>
    <row r="32" spans="1:88" s="1" customFormat="1" ht="18.75" customHeight="1" x14ac:dyDescent="0.25">
      <c r="A32" s="2431" t="s">
        <v>51</v>
      </c>
      <c r="B32" s="2431"/>
      <c r="C32" s="2431"/>
      <c r="D32" s="2431"/>
      <c r="E32" s="2431"/>
      <c r="F32" s="2431"/>
      <c r="G32" s="2431"/>
      <c r="H32" s="375"/>
      <c r="I32" s="2469">
        <f>+L32-0.5%</f>
        <v>3.0000000000000002E-2</v>
      </c>
      <c r="J32" s="2477"/>
      <c r="K32" s="2480"/>
      <c r="L32" s="2469">
        <f>+O32-0.5%</f>
        <v>3.5000000000000003E-2</v>
      </c>
      <c r="M32" s="2477"/>
      <c r="N32" s="2477"/>
      <c r="O32" s="2478">
        <f>+O23</f>
        <v>0.04</v>
      </c>
      <c r="P32" s="2477"/>
      <c r="Q32" s="2479"/>
      <c r="R32" s="2477">
        <f>+O32+0.5%</f>
        <v>4.4999999999999998E-2</v>
      </c>
      <c r="S32" s="2477"/>
      <c r="T32" s="2480"/>
      <c r="U32" s="2469">
        <f>+R32+0.5%</f>
        <v>4.9999999999999996E-2</v>
      </c>
      <c r="V32" s="2477"/>
      <c r="W32" s="2480"/>
      <c r="X32" s="2469">
        <f>+U32+0.5%</f>
        <v>5.4999999999999993E-2</v>
      </c>
      <c r="Y32" s="2477"/>
      <c r="Z32" s="2477"/>
      <c r="AA32" s="5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row>
    <row r="33" spans="1:68" s="1" customFormat="1" ht="18.75" customHeight="1" x14ac:dyDescent="0.25">
      <c r="A33" s="2431" t="s">
        <v>233</v>
      </c>
      <c r="B33" s="2431"/>
      <c r="C33" s="2431"/>
      <c r="D33" s="2431"/>
      <c r="E33" s="2431"/>
      <c r="F33" s="2431"/>
      <c r="G33" s="2431"/>
      <c r="H33" s="375"/>
      <c r="I33" s="2458" t="e">
        <f>+I31*I32/12</f>
        <v>#VALUE!</v>
      </c>
      <c r="J33" s="2458"/>
      <c r="K33" s="2458"/>
      <c r="L33" s="2458" t="e">
        <f>+L31*L32/12</f>
        <v>#VALUE!</v>
      </c>
      <c r="M33" s="2458"/>
      <c r="N33" s="2461"/>
      <c r="O33" s="2465" t="e">
        <f>+O31*O32/12</f>
        <v>#VALUE!</v>
      </c>
      <c r="P33" s="2458"/>
      <c r="Q33" s="2466"/>
      <c r="R33" s="2467" t="e">
        <f>+R31*R32/12</f>
        <v>#VALUE!</v>
      </c>
      <c r="S33" s="2458"/>
      <c r="T33" s="2458"/>
      <c r="U33" s="2458" t="e">
        <f>+U31*U32/12</f>
        <v>#VALUE!</v>
      </c>
      <c r="V33" s="2458"/>
      <c r="W33" s="2458"/>
      <c r="X33" s="2458" t="e">
        <f>+X31*X32/12</f>
        <v>#VALUE!</v>
      </c>
      <c r="Y33" s="2458"/>
      <c r="Z33" s="2458"/>
      <c r="AA33" s="5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row>
    <row r="34" spans="1:68" s="1" customFormat="1" ht="18.75" customHeight="1" x14ac:dyDescent="0.25">
      <c r="A34" s="2431" t="str">
        <f>CONCATENATE("Instalment pm – P&amp;I (",O35,"y)")</f>
        <v>Instalment pm – P&amp;I (30y)</v>
      </c>
      <c r="B34" s="2431"/>
      <c r="C34" s="2431"/>
      <c r="D34" s="2431"/>
      <c r="E34" s="2431"/>
      <c r="F34" s="2431"/>
      <c r="G34" s="2431"/>
      <c r="H34" s="375"/>
      <c r="I34" s="2461" t="e">
        <f>PMT(I32/12,O35*12,-I31)</f>
        <v>#VALUE!</v>
      </c>
      <c r="J34" s="2470"/>
      <c r="K34" s="2467"/>
      <c r="L34" s="2461" t="e">
        <f>PMT(L32/12,O35*12,-L31)</f>
        <v>#VALUE!</v>
      </c>
      <c r="M34" s="2470"/>
      <c r="N34" s="2470"/>
      <c r="O34" s="2471" t="e">
        <f>PMT(O32/12,+O35*12,-O31)</f>
        <v>#VALUE!</v>
      </c>
      <c r="P34" s="2470"/>
      <c r="Q34" s="2472"/>
      <c r="R34" s="2470" t="e">
        <f>PMT(R32/12,+O35*12,-R31)</f>
        <v>#VALUE!</v>
      </c>
      <c r="S34" s="2470"/>
      <c r="T34" s="2467"/>
      <c r="U34" s="2461" t="e">
        <f>PMT(U32/12,+O35*12,-U31)</f>
        <v>#VALUE!</v>
      </c>
      <c r="V34" s="2470"/>
      <c r="W34" s="2467"/>
      <c r="X34" s="2461" t="e">
        <f>PMT(X32/12,+O35*12,-X31)</f>
        <v>#VALUE!</v>
      </c>
      <c r="Y34" s="2470"/>
      <c r="Z34" s="2467"/>
      <c r="AA34" s="5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row>
    <row r="35" spans="1:68" ht="18.75" customHeight="1" thickBot="1" x14ac:dyDescent="0.3">
      <c r="A35" s="1"/>
      <c r="B35" s="1"/>
      <c r="C35" s="1"/>
      <c r="D35" s="1"/>
      <c r="E35" s="1"/>
      <c r="F35" s="1"/>
      <c r="G35" s="1"/>
      <c r="H35" s="1"/>
      <c r="I35" s="1"/>
      <c r="J35" s="1"/>
      <c r="K35" s="375"/>
      <c r="L35" s="2444" t="s">
        <v>275</v>
      </c>
      <c r="M35" s="2444"/>
      <c r="N35" s="2444"/>
      <c r="O35" s="2445">
        <f>+O26</f>
        <v>30</v>
      </c>
      <c r="P35" s="2446"/>
      <c r="Q35" s="2447"/>
      <c r="R35" s="2448" t="str">
        <f>+R26</f>
        <v>years</v>
      </c>
      <c r="S35" s="2448"/>
      <c r="T35" s="2448"/>
      <c r="U35" s="375"/>
      <c r="V35" s="375"/>
      <c r="W35" s="375"/>
      <c r="X35" s="375"/>
      <c r="Y35" s="375"/>
      <c r="Z35" s="375"/>
      <c r="AA35" s="53"/>
      <c r="AB35" s="27"/>
    </row>
    <row r="36" spans="1:68" ht="18.75" customHeight="1" thickTop="1" x14ac:dyDescent="0.25">
      <c r="A36" s="331"/>
      <c r="B36" s="331"/>
      <c r="C36" s="61"/>
      <c r="D36" s="1"/>
      <c r="E36" s="1"/>
      <c r="F36" s="1"/>
      <c r="G36" s="1"/>
      <c r="H36" s="1"/>
      <c r="I36" s="1"/>
      <c r="J36" s="1"/>
      <c r="K36" s="1"/>
      <c r="L36" s="1"/>
      <c r="M36" s="1"/>
      <c r="N36" s="1"/>
      <c r="O36" s="1"/>
      <c r="P36" s="1"/>
      <c r="Q36" s="1"/>
      <c r="R36" s="1"/>
      <c r="S36" s="1"/>
      <c r="T36" s="1"/>
      <c r="U36" s="1"/>
      <c r="V36" s="1"/>
      <c r="W36" s="1"/>
      <c r="X36" s="1"/>
      <c r="Y36" s="1"/>
      <c r="Z36" s="1"/>
      <c r="AA36" s="53"/>
    </row>
    <row r="37" spans="1:68" ht="18.75" customHeight="1" x14ac:dyDescent="0.25">
      <c r="A37" s="331"/>
      <c r="B37" s="331"/>
      <c r="C37" s="61"/>
      <c r="D37" s="1"/>
      <c r="E37" s="1"/>
      <c r="F37" s="1"/>
      <c r="G37" s="1"/>
      <c r="H37" s="1"/>
      <c r="I37" s="1"/>
      <c r="J37" s="1"/>
      <c r="K37" s="1"/>
      <c r="L37" s="1"/>
      <c r="M37" s="1"/>
      <c r="N37" s="1"/>
      <c r="O37" s="1"/>
      <c r="P37" s="1"/>
      <c r="Q37" s="1"/>
      <c r="R37" s="1"/>
      <c r="S37" s="1"/>
      <c r="T37" s="1"/>
      <c r="U37" s="1"/>
      <c r="V37" s="1"/>
      <c r="W37" s="1"/>
      <c r="X37" s="1"/>
      <c r="Y37" s="1"/>
      <c r="Z37" s="1"/>
      <c r="AA37" s="53"/>
    </row>
    <row r="38" spans="1:68" ht="18.75" customHeight="1" x14ac:dyDescent="0.25">
      <c r="A38" s="331"/>
      <c r="B38" s="331"/>
      <c r="C38" s="61"/>
      <c r="D38" s="1"/>
      <c r="E38" s="1"/>
      <c r="F38" s="1"/>
      <c r="G38" s="1"/>
      <c r="H38" s="1"/>
      <c r="I38" s="1"/>
      <c r="J38" s="1"/>
      <c r="K38" s="1"/>
      <c r="L38" s="1"/>
      <c r="M38" s="1"/>
      <c r="N38" s="1"/>
      <c r="O38" s="1"/>
      <c r="P38" s="1"/>
      <c r="Q38" s="1"/>
      <c r="R38" s="1"/>
      <c r="S38" s="1"/>
      <c r="T38" s="1"/>
      <c r="U38" s="1"/>
      <c r="V38" s="1"/>
      <c r="W38" s="1"/>
      <c r="X38" s="1"/>
      <c r="Y38" s="1"/>
      <c r="Z38" s="1"/>
      <c r="AA38" s="53"/>
    </row>
    <row r="39" spans="1:68" ht="18.75" customHeight="1" x14ac:dyDescent="0.25">
      <c r="A39" s="331"/>
      <c r="B39" s="331"/>
      <c r="C39" s="61"/>
      <c r="D39" s="1"/>
      <c r="E39" s="1"/>
      <c r="F39" s="1"/>
      <c r="G39" s="1"/>
      <c r="H39" s="1"/>
      <c r="I39" s="1"/>
      <c r="J39" s="1"/>
      <c r="K39" s="1"/>
      <c r="L39" s="1"/>
      <c r="M39" s="1"/>
      <c r="N39" s="1"/>
      <c r="O39" s="1"/>
      <c r="P39" s="1"/>
      <c r="Q39" s="1"/>
      <c r="R39" s="1"/>
      <c r="S39" s="1"/>
      <c r="T39" s="1"/>
      <c r="U39" s="1"/>
      <c r="V39" s="1"/>
      <c r="W39" s="1"/>
      <c r="X39" s="1"/>
      <c r="Y39" s="1"/>
      <c r="Z39" s="1"/>
      <c r="AA39" s="53"/>
    </row>
    <row r="40" spans="1:68" ht="18.75" customHeight="1" x14ac:dyDescent="0.25">
      <c r="A40" s="49"/>
      <c r="B40" s="49"/>
      <c r="C40" s="49"/>
      <c r="D40" s="67"/>
      <c r="E40" s="67"/>
      <c r="F40" s="67"/>
      <c r="G40" s="67"/>
      <c r="H40" s="67"/>
      <c r="I40" s="67"/>
      <c r="J40" s="67"/>
      <c r="K40" s="67"/>
      <c r="L40" s="67"/>
      <c r="M40" s="67"/>
      <c r="N40" s="67"/>
      <c r="O40" s="67"/>
      <c r="P40" s="67"/>
      <c r="Q40" s="67"/>
      <c r="R40" s="67"/>
      <c r="S40" s="67"/>
      <c r="T40" s="67"/>
      <c r="U40" s="67"/>
      <c r="V40" s="67"/>
      <c r="W40" s="67"/>
      <c r="X40" s="67"/>
      <c r="Y40" s="67"/>
      <c r="Z40" s="67"/>
      <c r="AA40" s="53"/>
    </row>
    <row r="41" spans="1:68" ht="18.75" customHeight="1" x14ac:dyDescent="0.25">
      <c r="A41" s="30"/>
      <c r="B41" s="30"/>
      <c r="C41" s="30"/>
      <c r="D41" s="30"/>
      <c r="E41" s="30"/>
      <c r="F41" s="30"/>
      <c r="G41" s="30"/>
      <c r="H41" s="30"/>
      <c r="I41" s="30"/>
      <c r="J41" s="30"/>
      <c r="K41" s="30"/>
      <c r="L41" s="30"/>
      <c r="M41" s="30"/>
      <c r="N41" s="30"/>
      <c r="O41" s="30"/>
      <c r="P41" s="30"/>
      <c r="Q41" s="31"/>
      <c r="R41" s="30"/>
      <c r="S41" s="30"/>
    </row>
    <row r="42" spans="1:68" ht="18.75" customHeight="1" x14ac:dyDescent="0.25">
      <c r="A42" s="30"/>
      <c r="B42" s="30"/>
      <c r="C42" s="30"/>
      <c r="D42" s="30"/>
      <c r="E42" s="30"/>
      <c r="F42" s="30"/>
      <c r="G42" s="30"/>
      <c r="H42" s="30"/>
      <c r="I42" s="30"/>
      <c r="J42" s="30"/>
      <c r="K42" s="30"/>
      <c r="L42" s="30"/>
      <c r="M42" s="30"/>
      <c r="N42" s="30"/>
      <c r="O42" s="30"/>
      <c r="P42" s="30"/>
      <c r="Q42" s="31"/>
      <c r="R42" s="30"/>
      <c r="S42" s="30"/>
    </row>
  </sheetData>
  <sheetProtection sheet="1" objects="1" scenarios="1"/>
  <mergeCells count="172">
    <mergeCell ref="A29:G29"/>
    <mergeCell ref="A31:G31"/>
    <mergeCell ref="A32:G32"/>
    <mergeCell ref="A33:G33"/>
    <mergeCell ref="A34:G34"/>
    <mergeCell ref="A28:G28"/>
    <mergeCell ref="H28:K28"/>
    <mergeCell ref="A12:G12"/>
    <mergeCell ref="A11:G11"/>
    <mergeCell ref="I19:K19"/>
    <mergeCell ref="I24:K24"/>
    <mergeCell ref="I26:K26"/>
    <mergeCell ref="A25:G25"/>
    <mergeCell ref="A26:G26"/>
    <mergeCell ref="A27:G27"/>
    <mergeCell ref="I33:K33"/>
    <mergeCell ref="A21:G21"/>
    <mergeCell ref="A22:G22"/>
    <mergeCell ref="A18:G18"/>
    <mergeCell ref="A23:G23"/>
    <mergeCell ref="A24:G24"/>
    <mergeCell ref="A15:G15"/>
    <mergeCell ref="A14:G14"/>
    <mergeCell ref="A13:G13"/>
    <mergeCell ref="A19:G19"/>
    <mergeCell ref="A17:G17"/>
    <mergeCell ref="A16:G16"/>
    <mergeCell ref="A20:G20"/>
    <mergeCell ref="A7:W7"/>
    <mergeCell ref="X7:Z7"/>
    <mergeCell ref="A8:H8"/>
    <mergeCell ref="O8:Q8"/>
    <mergeCell ref="X8:Z8"/>
    <mergeCell ref="I11:K11"/>
    <mergeCell ref="L11:N11"/>
    <mergeCell ref="O11:Q11"/>
    <mergeCell ref="R11:T11"/>
    <mergeCell ref="U11:W11"/>
    <mergeCell ref="X11:Z11"/>
    <mergeCell ref="X9:Z9"/>
    <mergeCell ref="I10:K10"/>
    <mergeCell ref="L10:N10"/>
    <mergeCell ref="O10:Q10"/>
    <mergeCell ref="R10:T10"/>
    <mergeCell ref="U10:W10"/>
    <mergeCell ref="X10:Z10"/>
    <mergeCell ref="I9:K9"/>
    <mergeCell ref="L9:N9"/>
    <mergeCell ref="O9:Q9"/>
    <mergeCell ref="A10:G10"/>
    <mergeCell ref="A9:G9"/>
    <mergeCell ref="R9:T9"/>
    <mergeCell ref="U9:W9"/>
    <mergeCell ref="I13:K13"/>
    <mergeCell ref="L13:N13"/>
    <mergeCell ref="O13:Q13"/>
    <mergeCell ref="R13:T13"/>
    <mergeCell ref="U13:W13"/>
    <mergeCell ref="X13:Z13"/>
    <mergeCell ref="I12:K12"/>
    <mergeCell ref="L12:N12"/>
    <mergeCell ref="O12:Q12"/>
    <mergeCell ref="R12:T12"/>
    <mergeCell ref="U12:W12"/>
    <mergeCell ref="X12:Z12"/>
    <mergeCell ref="X14:Z14"/>
    <mergeCell ref="I15:K15"/>
    <mergeCell ref="L15:N15"/>
    <mergeCell ref="O15:Q15"/>
    <mergeCell ref="R15:T15"/>
    <mergeCell ref="U15:W15"/>
    <mergeCell ref="X15:Z15"/>
    <mergeCell ref="I14:K14"/>
    <mergeCell ref="L14:N14"/>
    <mergeCell ref="O14:Q14"/>
    <mergeCell ref="R14:T14"/>
    <mergeCell ref="U14:W14"/>
    <mergeCell ref="L19:N19"/>
    <mergeCell ref="O19:Q19"/>
    <mergeCell ref="R19:T19"/>
    <mergeCell ref="U19:W19"/>
    <mergeCell ref="X19:Z19"/>
    <mergeCell ref="X16:Z16"/>
    <mergeCell ref="I17:K17"/>
    <mergeCell ref="L17:N17"/>
    <mergeCell ref="O17:Q17"/>
    <mergeCell ref="R17:T17"/>
    <mergeCell ref="U17:W17"/>
    <mergeCell ref="X17:Z17"/>
    <mergeCell ref="I16:K16"/>
    <mergeCell ref="L16:N16"/>
    <mergeCell ref="O16:Q16"/>
    <mergeCell ref="R16:T16"/>
    <mergeCell ref="U16:W16"/>
    <mergeCell ref="U20:W20"/>
    <mergeCell ref="X20:Z20"/>
    <mergeCell ref="I21:K21"/>
    <mergeCell ref="L21:N21"/>
    <mergeCell ref="O21:Q21"/>
    <mergeCell ref="R21:T21"/>
    <mergeCell ref="U21:W21"/>
    <mergeCell ref="X21:Z21"/>
    <mergeCell ref="I20:K20"/>
    <mergeCell ref="L20:N20"/>
    <mergeCell ref="O20:Q20"/>
    <mergeCell ref="R20:T20"/>
    <mergeCell ref="L24:N24"/>
    <mergeCell ref="O24:Q24"/>
    <mergeCell ref="R24:T24"/>
    <mergeCell ref="U24:W24"/>
    <mergeCell ref="X24:Z24"/>
    <mergeCell ref="I23:K23"/>
    <mergeCell ref="L23:N23"/>
    <mergeCell ref="O23:Q23"/>
    <mergeCell ref="R23:T23"/>
    <mergeCell ref="U23:W23"/>
    <mergeCell ref="X23:Z23"/>
    <mergeCell ref="L26:N26"/>
    <mergeCell ref="O26:Q26"/>
    <mergeCell ref="R26:T26"/>
    <mergeCell ref="U26:W26"/>
    <mergeCell ref="X26:Z26"/>
    <mergeCell ref="I25:K25"/>
    <mergeCell ref="L25:N25"/>
    <mergeCell ref="O25:Q25"/>
    <mergeCell ref="R25:T25"/>
    <mergeCell ref="U25:W25"/>
    <mergeCell ref="X25:Z25"/>
    <mergeCell ref="O31:Q31"/>
    <mergeCell ref="R31:T31"/>
    <mergeCell ref="U31:W31"/>
    <mergeCell ref="X31:Z31"/>
    <mergeCell ref="A30:H30"/>
    <mergeCell ref="I30:K30"/>
    <mergeCell ref="L30:N30"/>
    <mergeCell ref="O30:Q30"/>
    <mergeCell ref="R30:T30"/>
    <mergeCell ref="U30:W30"/>
    <mergeCell ref="X30:Z30"/>
    <mergeCell ref="I31:K31"/>
    <mergeCell ref="L31:N31"/>
    <mergeCell ref="L35:N35"/>
    <mergeCell ref="O35:Q35"/>
    <mergeCell ref="R35:T35"/>
    <mergeCell ref="I34:K34"/>
    <mergeCell ref="L34:N34"/>
    <mergeCell ref="O34:Q34"/>
    <mergeCell ref="R34:T34"/>
    <mergeCell ref="U34:W34"/>
    <mergeCell ref="X34:Z34"/>
    <mergeCell ref="L33:N33"/>
    <mergeCell ref="O33:Q33"/>
    <mergeCell ref="R33:T33"/>
    <mergeCell ref="U33:W33"/>
    <mergeCell ref="X33:Z33"/>
    <mergeCell ref="I32:K32"/>
    <mergeCell ref="L32:N32"/>
    <mergeCell ref="O32:Q32"/>
    <mergeCell ref="R32:T32"/>
    <mergeCell ref="U32:W32"/>
    <mergeCell ref="X32:Z32"/>
    <mergeCell ref="B6:Z6"/>
    <mergeCell ref="A1:U1"/>
    <mergeCell ref="A2:AA2"/>
    <mergeCell ref="B3:F3"/>
    <mergeCell ref="H3:R3"/>
    <mergeCell ref="S3:U3"/>
    <mergeCell ref="V3:AA3"/>
    <mergeCell ref="B4:F4"/>
    <mergeCell ref="H4:J4"/>
    <mergeCell ref="S4:U4"/>
    <mergeCell ref="V4:Z4"/>
  </mergeCells>
  <conditionalFormatting sqref="I21:K21">
    <cfRule type="expression" dxfId="19" priority="6">
      <formula>I21&gt;0.8</formula>
    </cfRule>
  </conditionalFormatting>
  <conditionalFormatting sqref="L21:N21">
    <cfRule type="expression" dxfId="18" priority="5">
      <formula>L21&gt;0.8</formula>
    </cfRule>
  </conditionalFormatting>
  <conditionalFormatting sqref="O21:Q21">
    <cfRule type="expression" dxfId="17" priority="4">
      <formula>O21&gt;0.8</formula>
    </cfRule>
  </conditionalFormatting>
  <conditionalFormatting sqref="R21:T21">
    <cfRule type="expression" dxfId="16" priority="3">
      <formula>R21&gt;0.8</formula>
    </cfRule>
  </conditionalFormatting>
  <conditionalFormatting sqref="U21:W21">
    <cfRule type="expression" dxfId="15" priority="2">
      <formula>U21&gt;0.8</formula>
    </cfRule>
  </conditionalFormatting>
  <conditionalFormatting sqref="X21:Z21">
    <cfRule type="expression" dxfId="14" priority="1">
      <formula>X21&gt;0.8</formula>
    </cfRule>
  </conditionalFormatting>
  <dataValidations count="1">
    <dataValidation type="list" allowBlank="1" showInputMessage="1" showErrorMessage="1" sqref="I10:Z10">
      <formula1>$AD$7:$AD$13</formula1>
    </dataValidation>
  </dataValidations>
  <pageMargins left="0.23622047244094491" right="0.23622047244094491" top="0.74803149606299213" bottom="0.74803149606299213" header="0.31496062992125984" footer="0"/>
  <pageSetup paperSize="9" scale="94" orientation="portrait" r:id="rId1"/>
  <headerFooter>
    <oddHeader>&amp;R&amp;G</odd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ET42"/>
  <sheetViews>
    <sheetView showGridLines="0" showRuler="0" zoomScaleNormal="100" zoomScalePageLayoutView="93" workbookViewId="0">
      <selection activeCell="U12" sqref="U12:W12"/>
    </sheetView>
  </sheetViews>
  <sheetFormatPr defaultColWidth="3.5703125" defaultRowHeight="18.75" customHeight="1" x14ac:dyDescent="0.25"/>
  <cols>
    <col min="1" max="16" width="3.5703125" style="21"/>
    <col min="17" max="17" width="3.5703125" style="23"/>
    <col min="18" max="27" width="3.5703125" style="21"/>
    <col min="28" max="28" width="3.5703125" style="21" customWidth="1"/>
    <col min="29" max="30" width="10.5703125" style="94" customWidth="1"/>
    <col min="31" max="32" width="7.5703125" style="94" customWidth="1"/>
    <col min="33" max="33" width="9.140625" style="94" bestFit="1" customWidth="1"/>
    <col min="34" max="38" width="8.7109375" style="94" bestFit="1" customWidth="1"/>
    <col min="39" max="39" width="8" style="94" bestFit="1" customWidth="1"/>
    <col min="40" max="45" width="3.5703125" style="94"/>
    <col min="46" max="68" width="3.5703125" style="129"/>
    <col min="69" max="75" width="3.5703125" style="21"/>
    <col min="76" max="81" width="9.85546875" style="21" bestFit="1" customWidth="1"/>
    <col min="82" max="82" width="3" style="21" bestFit="1" customWidth="1"/>
    <col min="83" max="83" width="10.85546875" style="21" bestFit="1" customWidth="1"/>
    <col min="84" max="84" width="7.140625" style="21" bestFit="1" customWidth="1"/>
    <col min="85" max="85" width="3" style="21" bestFit="1" customWidth="1"/>
    <col min="86" max="86" width="6.5703125" style="21" bestFit="1" customWidth="1"/>
    <col min="87" max="87" width="3" style="21" bestFit="1" customWidth="1"/>
    <col min="88" max="88" width="5" style="21" bestFit="1" customWidth="1"/>
    <col min="89" max="90" width="3" style="21" bestFit="1" customWidth="1"/>
    <col min="91" max="16384" width="3.5703125" style="21"/>
  </cols>
  <sheetData>
    <row r="1" spans="1:150" ht="60" customHeight="1" x14ac:dyDescent="0.25">
      <c r="A1" s="2498" t="s">
        <v>555</v>
      </c>
      <c r="B1" s="2498"/>
      <c r="C1" s="2498"/>
      <c r="D1" s="2498"/>
      <c r="E1" s="2498"/>
      <c r="F1" s="2498"/>
      <c r="G1" s="2498"/>
      <c r="H1" s="2498"/>
      <c r="I1" s="2498"/>
      <c r="J1" s="2498"/>
      <c r="K1" s="2498"/>
      <c r="L1" s="2498"/>
      <c r="M1" s="2498"/>
      <c r="N1" s="2498"/>
      <c r="O1" s="2498"/>
      <c r="P1" s="2498"/>
      <c r="Q1" s="2498"/>
      <c r="R1" s="2498"/>
      <c r="S1" s="2498"/>
      <c r="T1" s="2498"/>
      <c r="U1" s="2498"/>
      <c r="AC1" s="871" t="s">
        <v>434</v>
      </c>
      <c r="AD1" s="871"/>
      <c r="AE1" s="871"/>
      <c r="AF1" s="871"/>
      <c r="AG1" s="871"/>
      <c r="AH1" s="871"/>
      <c r="AI1" s="871"/>
      <c r="AJ1" s="871"/>
      <c r="AK1" s="871"/>
      <c r="AL1" s="871"/>
      <c r="AM1" s="871"/>
      <c r="AN1" s="871"/>
      <c r="AO1" s="871"/>
      <c r="AP1" s="871"/>
      <c r="AQ1" s="871"/>
      <c r="AR1" s="871"/>
      <c r="AS1" s="871"/>
      <c r="AT1" s="871"/>
      <c r="AU1" s="871"/>
      <c r="AV1" s="871"/>
      <c r="AW1" s="871"/>
      <c r="AX1" s="871"/>
      <c r="AY1" s="871"/>
      <c r="AZ1" s="871"/>
    </row>
    <row r="2" spans="1:150" s="27" customFormat="1" ht="15"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C2" s="94"/>
      <c r="AD2" s="94"/>
      <c r="AE2" s="94"/>
      <c r="AF2" s="94"/>
      <c r="AG2" s="94"/>
      <c r="AH2" s="94"/>
      <c r="AI2" s="94"/>
      <c r="AJ2" s="94"/>
      <c r="AK2" s="94"/>
      <c r="AL2" s="94"/>
      <c r="AM2" s="94"/>
      <c r="AN2" s="94"/>
      <c r="AO2" s="94"/>
      <c r="AP2" s="94"/>
      <c r="AQ2" s="94"/>
      <c r="AR2" s="94"/>
      <c r="AS2" s="94"/>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row>
    <row r="3" spans="1:150" s="192" customFormat="1" ht="15"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t="s">
        <v>685</v>
      </c>
      <c r="T3" s="1724"/>
      <c r="U3" s="1724"/>
      <c r="V3" s="1727" t="str">
        <f>+Funding!U3</f>
        <v>Purchase - Invest</v>
      </c>
      <c r="W3" s="1727"/>
      <c r="X3" s="1727"/>
      <c r="Y3" s="1727"/>
      <c r="Z3" s="1727"/>
      <c r="AA3" s="1727"/>
      <c r="AB3" s="21"/>
      <c r="AC3" s="190"/>
      <c r="AD3" s="190"/>
      <c r="AE3" s="190"/>
      <c r="AF3" s="190"/>
      <c r="AG3" s="190"/>
      <c r="AH3" s="190"/>
      <c r="AI3" s="190"/>
      <c r="AJ3" s="190"/>
      <c r="AK3" s="190"/>
      <c r="AL3" s="190"/>
      <c r="AM3" s="190"/>
      <c r="AN3" s="190"/>
      <c r="AO3" s="190"/>
      <c r="AP3" s="191"/>
      <c r="AQ3" s="191"/>
      <c r="AR3" s="191"/>
      <c r="AS3" s="191"/>
      <c r="AT3" s="191"/>
      <c r="AU3" s="191"/>
      <c r="AV3" s="191"/>
      <c r="AW3" s="191"/>
      <c r="AX3" s="191"/>
      <c r="AY3" s="191"/>
      <c r="AZ3" s="191"/>
      <c r="BA3" s="191"/>
      <c r="BB3" s="191"/>
      <c r="BC3" s="191"/>
      <c r="BD3" s="191"/>
      <c r="BE3" s="191"/>
      <c r="BF3" s="191"/>
      <c r="BG3" s="191"/>
      <c r="BH3" s="191"/>
    </row>
    <row r="4" spans="1:150" ht="15.75" thickBot="1" x14ac:dyDescent="0.3">
      <c r="A4" s="686"/>
      <c r="B4" s="1724" t="s">
        <v>670</v>
      </c>
      <c r="C4" s="1724"/>
      <c r="D4" s="1724"/>
      <c r="E4" s="1724"/>
      <c r="F4" s="1724"/>
      <c r="G4" s="687"/>
      <c r="H4" s="1725">
        <f>+Purchase</f>
        <v>0</v>
      </c>
      <c r="I4" s="1725"/>
      <c r="J4" s="1725"/>
      <c r="K4" s="688"/>
      <c r="L4" s="688"/>
      <c r="M4" s="688"/>
      <c r="N4" s="688"/>
      <c r="O4" s="688"/>
      <c r="P4" s="688"/>
      <c r="Q4" s="688"/>
      <c r="R4" s="688"/>
      <c r="S4" s="1724" t="s">
        <v>686</v>
      </c>
      <c r="T4" s="1724"/>
      <c r="U4" s="1724"/>
      <c r="V4" s="1727" t="str">
        <f>+Funding!U4</f>
        <v/>
      </c>
      <c r="W4" s="1727"/>
      <c r="X4" s="1727"/>
      <c r="Y4" s="1727"/>
      <c r="Z4" s="1727"/>
      <c r="AA4" s="686"/>
    </row>
    <row r="5" spans="1:150" s="1" customFormat="1" ht="15" x14ac:dyDescent="0.25">
      <c r="A5" s="689"/>
      <c r="B5" s="689"/>
      <c r="C5" s="689"/>
      <c r="D5" s="689"/>
      <c r="E5" s="689"/>
      <c r="F5" s="689"/>
      <c r="G5" s="689"/>
      <c r="H5" s="689"/>
      <c r="I5" s="690"/>
      <c r="J5" s="690"/>
      <c r="K5" s="689"/>
      <c r="L5" s="689"/>
      <c r="M5" s="689"/>
      <c r="N5" s="689"/>
      <c r="O5" s="689"/>
      <c r="P5" s="689"/>
      <c r="Q5" s="689"/>
      <c r="R5" s="689"/>
      <c r="S5" s="689"/>
      <c r="T5" s="689"/>
      <c r="U5" s="689"/>
      <c r="V5" s="689"/>
      <c r="W5" s="689"/>
      <c r="X5" s="689"/>
      <c r="Y5" s="689"/>
      <c r="Z5" s="689"/>
      <c r="AA5" s="689"/>
      <c r="AC5" s="135"/>
      <c r="AD5" s="872"/>
      <c r="AE5" s="132"/>
      <c r="AF5" s="132"/>
      <c r="AG5" s="145">
        <f>+I9</f>
        <v>0</v>
      </c>
      <c r="AH5" s="145">
        <f>+L9</f>
        <v>0</v>
      </c>
      <c r="AI5" s="807">
        <f>+O9</f>
        <v>0</v>
      </c>
      <c r="AJ5" s="145">
        <f>+R9</f>
        <v>0</v>
      </c>
      <c r="AK5" s="145">
        <f>+U9</f>
        <v>0</v>
      </c>
      <c r="AL5" s="145">
        <f>+X9</f>
        <v>0</v>
      </c>
      <c r="AM5" s="94"/>
      <c r="AN5" s="135"/>
      <c r="AO5" s="135"/>
      <c r="AP5" s="135"/>
      <c r="AQ5" s="135"/>
      <c r="AR5" s="135"/>
      <c r="AS5" s="135"/>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150" s="709" customFormat="1" ht="11.25" x14ac:dyDescent="0.2">
      <c r="A6" s="689"/>
      <c r="B6" s="1722" t="str">
        <f>CONCATENATE("Proposed Budgets based on a set Purchase Price of ",TEXT(O9,"$#,###")," and different Loan Amounts")</f>
        <v>Proposed Budgets based on a set Purchase Price of $ and different Loan Amounts</v>
      </c>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1722"/>
      <c r="AA6" s="689"/>
      <c r="AC6" s="680"/>
      <c r="AD6" s="710"/>
      <c r="AE6" s="711" t="s">
        <v>35</v>
      </c>
      <c r="AF6" s="711" t="s">
        <v>36</v>
      </c>
      <c r="AG6" s="711" t="s">
        <v>37</v>
      </c>
      <c r="AH6" s="803" t="s">
        <v>218</v>
      </c>
      <c r="AI6" s="808" t="s">
        <v>219</v>
      </c>
      <c r="AJ6" s="805" t="s">
        <v>220</v>
      </c>
      <c r="AK6" s="711" t="s">
        <v>221</v>
      </c>
      <c r="AL6" s="711" t="s">
        <v>222</v>
      </c>
      <c r="AM6" s="870"/>
      <c r="AN6" s="680"/>
      <c r="AO6" s="680"/>
      <c r="AP6" s="680"/>
      <c r="AQ6" s="680"/>
      <c r="AR6" s="680"/>
      <c r="AS6" s="680"/>
      <c r="AT6" s="680"/>
      <c r="AU6" s="680"/>
      <c r="AV6" s="680"/>
      <c r="AW6" s="680"/>
      <c r="AX6" s="680"/>
      <c r="AY6" s="680"/>
      <c r="AZ6" s="680"/>
      <c r="BA6" s="680"/>
      <c r="BB6" s="680"/>
      <c r="BC6" s="680"/>
      <c r="BD6" s="680"/>
      <c r="BE6" s="680"/>
      <c r="BF6" s="680"/>
      <c r="BG6" s="680"/>
      <c r="BH6" s="680"/>
      <c r="BI6" s="680"/>
      <c r="BJ6" s="680"/>
      <c r="BK6" s="680"/>
      <c r="BL6" s="680"/>
      <c r="BM6" s="680"/>
      <c r="BN6" s="680"/>
      <c r="BO6" s="680"/>
      <c r="BP6" s="680"/>
    </row>
    <row r="7" spans="1:150" s="65" customFormat="1" ht="18.75" customHeight="1" thickBot="1" x14ac:dyDescent="0.3">
      <c r="A7" s="2432"/>
      <c r="B7" s="2432"/>
      <c r="C7" s="2432"/>
      <c r="D7" s="2432"/>
      <c r="E7" s="2432"/>
      <c r="F7" s="2432"/>
      <c r="G7" s="2432"/>
      <c r="H7" s="2432"/>
      <c r="I7" s="2432"/>
      <c r="J7" s="2432"/>
      <c r="K7" s="2432"/>
      <c r="L7" s="2432"/>
      <c r="M7" s="2432"/>
      <c r="N7" s="2432"/>
      <c r="O7" s="2432"/>
      <c r="P7" s="2432"/>
      <c r="Q7" s="2432"/>
      <c r="R7" s="2432"/>
      <c r="S7" s="2432"/>
      <c r="T7" s="2432"/>
      <c r="U7" s="2432"/>
      <c r="V7" s="2432"/>
      <c r="W7" s="2432"/>
      <c r="X7" s="2426" t="s">
        <v>224</v>
      </c>
      <c r="Y7" s="2426"/>
      <c r="Z7" s="2426"/>
      <c r="AA7" s="104"/>
      <c r="AC7" s="135"/>
      <c r="AD7" s="147" t="s">
        <v>39</v>
      </c>
      <c r="AE7" s="134">
        <f>+Settings!W4</f>
        <v>262</v>
      </c>
      <c r="AF7" s="134">
        <f>+Settings!X4</f>
        <v>135</v>
      </c>
      <c r="AG7" s="134">
        <f t="shared" ref="AG7:AL7" si="0">IF(AND(BX13&gt;=0,BX13&lt;200000),2*INT((BX13)/100),IF(AND(BX13&gt;=200000,BX13&lt;300000),4000+3.5*INT((BX13-199901)/100),IF(AND(BX13&gt;=300000,BX13&lt;500000),7500+4.15*INT((BX13-299901)/100),IF(AND(BX13&gt;=500000,BX13&lt;750000),15800+5*INT((BX13-499901)/100),IF(AND(BX13&gt;=750000,BX13&lt;1000000),28300+6.5*INT((BX13-749901)/100),IF(AND(BX13&gt;=1000000,BX13&lt;1455000),44550+7*INT((BX13-999901)/100),IF(BX13&gt;=1455000,5.25*INT((BX13)/100),"Check")))))))</f>
        <v>0</v>
      </c>
      <c r="AH7" s="804">
        <f t="shared" si="0"/>
        <v>0</v>
      </c>
      <c r="AI7" s="809">
        <f t="shared" si="0"/>
        <v>0</v>
      </c>
      <c r="AJ7" s="806">
        <f t="shared" si="0"/>
        <v>0</v>
      </c>
      <c r="AK7" s="134">
        <f t="shared" si="0"/>
        <v>0</v>
      </c>
      <c r="AL7" s="134">
        <f t="shared" si="0"/>
        <v>0</v>
      </c>
      <c r="AM7" s="94"/>
      <c r="AN7" s="135"/>
      <c r="AO7" s="135"/>
      <c r="AP7" s="135"/>
      <c r="AQ7" s="135"/>
      <c r="AR7" s="135"/>
      <c r="AS7" s="135"/>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
      <c r="BR7" s="1"/>
      <c r="BS7" s="1"/>
      <c r="BT7" s="1"/>
      <c r="BU7" s="1"/>
      <c r="BV7" s="1"/>
      <c r="BW7" s="1"/>
      <c r="BX7" s="1"/>
      <c r="BY7" s="1"/>
      <c r="BZ7" s="1"/>
      <c r="CA7" s="1"/>
      <c r="CB7" s="1"/>
      <c r="CC7" s="1"/>
      <c r="CD7" s="1"/>
      <c r="CE7" s="421" t="str">
        <f>+Funding!CI7</f>
        <v>WA Transfer</v>
      </c>
      <c r="CF7" s="421" t="str">
        <f>+Funding!CJ7</f>
        <v>WA Fee</v>
      </c>
      <c r="CG7" s="421"/>
      <c r="CH7" s="421" t="str">
        <f>+Funding!CL7</f>
        <v>Vic Fee</v>
      </c>
      <c r="CI7" s="421"/>
      <c r="CJ7" s="421">
        <f>+Funding!CN7</f>
        <v>0</v>
      </c>
      <c r="CK7" s="42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row>
    <row r="8" spans="1:150" s="1" customFormat="1" ht="18.75" customHeight="1" thickTop="1" thickBot="1" x14ac:dyDescent="0.3">
      <c r="A8" s="2430" t="s">
        <v>46</v>
      </c>
      <c r="B8" s="2430"/>
      <c r="C8" s="2430"/>
      <c r="D8" s="2430"/>
      <c r="E8" s="2430"/>
      <c r="F8" s="2430"/>
      <c r="G8" s="2430"/>
      <c r="H8" s="2430"/>
      <c r="I8" s="66"/>
      <c r="J8" s="66"/>
      <c r="K8" s="66"/>
      <c r="L8" s="66"/>
      <c r="M8" s="66"/>
      <c r="N8" s="66"/>
      <c r="O8" s="2433" t="s">
        <v>276</v>
      </c>
      <c r="P8" s="2434"/>
      <c r="Q8" s="2435"/>
      <c r="R8" s="66"/>
      <c r="S8" s="66"/>
      <c r="T8" s="66"/>
      <c r="U8" s="66"/>
      <c r="V8" s="66"/>
      <c r="W8" s="66"/>
      <c r="X8" s="2565">
        <v>50000</v>
      </c>
      <c r="Y8" s="2566"/>
      <c r="Z8" s="2567"/>
      <c r="AA8" s="66"/>
      <c r="AC8" s="146"/>
      <c r="AD8" s="147" t="s">
        <v>34</v>
      </c>
      <c r="AE8" s="134">
        <f>+Settings!W5</f>
        <v>272</v>
      </c>
      <c r="AF8" s="134">
        <f>+Settings!X5</f>
        <v>136</v>
      </c>
      <c r="AG8" s="134" t="str">
        <f t="shared" ref="AG8:AL8" si="1">IF(AND(AG5&gt;=80000,AG5&lt;300000),1290+3.5*INT((AG5-79901)/100),IF(AND(AG5&gt;=300000,AG5&lt;1000000),8990+4.5*INT((AG5-299901)/100),IF(AG5&gt;=1000000,40490+5.5*INT((AG5-999901)/100),"NO DUTY")))</f>
        <v>NO DUTY</v>
      </c>
      <c r="AH8" s="804" t="str">
        <f t="shared" si="1"/>
        <v>NO DUTY</v>
      </c>
      <c r="AI8" s="809" t="str">
        <f t="shared" si="1"/>
        <v>NO DUTY</v>
      </c>
      <c r="AJ8" s="806" t="str">
        <f t="shared" si="1"/>
        <v>NO DUTY</v>
      </c>
      <c r="AK8" s="134" t="str">
        <f t="shared" si="1"/>
        <v>NO DUTY</v>
      </c>
      <c r="AL8" s="134" t="str">
        <f t="shared" si="1"/>
        <v>NO DUTY</v>
      </c>
      <c r="AM8" s="94"/>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65"/>
      <c r="BR8" s="65"/>
      <c r="BS8" s="65"/>
      <c r="BT8" s="65"/>
      <c r="BU8" s="65"/>
      <c r="BV8" s="65"/>
      <c r="BW8" s="65"/>
      <c r="BX8" s="65"/>
      <c r="BY8" s="65"/>
      <c r="BZ8" s="65"/>
      <c r="CA8" s="65"/>
      <c r="CB8" s="65"/>
      <c r="CC8" s="65"/>
      <c r="CD8" s="65"/>
      <c r="CE8" s="613">
        <f>+Funding!CI8</f>
        <v>0</v>
      </c>
      <c r="CF8" s="613">
        <f>+Funding!CJ8</f>
        <v>160</v>
      </c>
      <c r="CG8" s="613">
        <f>+Funding!CK8</f>
        <v>0</v>
      </c>
      <c r="CH8" s="613">
        <f>+Funding!CL8</f>
        <v>344</v>
      </c>
      <c r="CI8" s="613"/>
      <c r="CJ8" s="613">
        <f>+Funding!CN8</f>
        <v>0</v>
      </c>
      <c r="CK8" s="613"/>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row>
    <row r="9" spans="1:150" s="65" customFormat="1" ht="18.75" customHeight="1" thickBot="1" x14ac:dyDescent="0.3">
      <c r="A9" s="2431" t="s">
        <v>32</v>
      </c>
      <c r="B9" s="2431"/>
      <c r="C9" s="2431"/>
      <c r="D9" s="2431"/>
      <c r="E9" s="2431"/>
      <c r="F9" s="2431"/>
      <c r="G9" s="1"/>
      <c r="H9" s="490"/>
      <c r="I9" s="2543">
        <f>+O9</f>
        <v>0</v>
      </c>
      <c r="J9" s="2543"/>
      <c r="K9" s="2543"/>
      <c r="L9" s="2543">
        <f>+O9</f>
        <v>0</v>
      </c>
      <c r="M9" s="2543"/>
      <c r="N9" s="2546"/>
      <c r="O9" s="2562">
        <f>+Funding!G11</f>
        <v>0</v>
      </c>
      <c r="P9" s="2563"/>
      <c r="Q9" s="2564"/>
      <c r="R9" s="2542">
        <f>+O9</f>
        <v>0</v>
      </c>
      <c r="S9" s="2543"/>
      <c r="T9" s="2543"/>
      <c r="U9" s="2542">
        <f>+R9</f>
        <v>0</v>
      </c>
      <c r="V9" s="2543"/>
      <c r="W9" s="2543"/>
      <c r="X9" s="2542">
        <f>+U9</f>
        <v>0</v>
      </c>
      <c r="Y9" s="2543"/>
      <c r="Z9" s="2543"/>
      <c r="AA9" s="491"/>
      <c r="AC9" s="135"/>
      <c r="AD9" s="147" t="s">
        <v>41</v>
      </c>
      <c r="AE9" s="134" t="str">
        <f>+Settings!W6</f>
        <v>Varies</v>
      </c>
      <c r="AF9" s="134">
        <f>+Settings!X6</f>
        <v>175</v>
      </c>
      <c r="AG9" s="134" t="str">
        <f t="shared" ref="AG9:AL9" si="2">IF(AND(BX13&gt;=75000,BX13&lt;540000),1050+3.5*INT((BX13-74901)/100),IF(AND(BX13&gt;=540000,BX13&lt;1000000),17325+4.5*INT((BX13-539901)/100),IF(BX13&gt;=1000000,38025+5.75*INT((BX13-999901)/100),"Check")))</f>
        <v>Check</v>
      </c>
      <c r="AH9" s="804" t="str">
        <f t="shared" si="2"/>
        <v>Check</v>
      </c>
      <c r="AI9" s="809" t="str">
        <f t="shared" si="2"/>
        <v>Check</v>
      </c>
      <c r="AJ9" s="806" t="str">
        <f t="shared" si="2"/>
        <v>Check</v>
      </c>
      <c r="AK9" s="134" t="str">
        <f t="shared" si="2"/>
        <v>Check</v>
      </c>
      <c r="AL9" s="134" t="str">
        <f t="shared" si="2"/>
        <v>Check</v>
      </c>
      <c r="AM9" s="94"/>
      <c r="AN9" s="135"/>
      <c r="AO9" s="135"/>
      <c r="AP9" s="135"/>
      <c r="AQ9" s="135"/>
      <c r="AR9" s="135"/>
      <c r="AS9" s="135"/>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
      <c r="BR9" s="1"/>
      <c r="BS9" s="1"/>
      <c r="BT9" s="1"/>
      <c r="BU9" s="1"/>
      <c r="BV9" s="1"/>
      <c r="BW9" s="1"/>
      <c r="BX9" s="1"/>
      <c r="BY9" s="1"/>
      <c r="BZ9" s="1"/>
      <c r="CA9" s="1"/>
      <c r="CB9" s="1"/>
      <c r="CC9" s="1"/>
      <c r="CD9" s="1"/>
      <c r="CE9" s="613">
        <f>+Funding!CI9</f>
        <v>85000</v>
      </c>
      <c r="CF9" s="613">
        <f>+Funding!CJ9</f>
        <v>160</v>
      </c>
      <c r="CG9" s="613">
        <f>+Funding!CK9</f>
        <v>0</v>
      </c>
      <c r="CH9" s="613">
        <f>+Funding!CL9</f>
        <v>430</v>
      </c>
      <c r="CI9" s="613"/>
      <c r="CJ9" s="613">
        <f>+Funding!CN9</f>
        <v>86</v>
      </c>
      <c r="CK9" s="225"/>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row>
    <row r="10" spans="1:150" s="1" customFormat="1" ht="18.75" customHeight="1" x14ac:dyDescent="0.25">
      <c r="A10" s="2431" t="s">
        <v>33</v>
      </c>
      <c r="B10" s="2431"/>
      <c r="C10" s="2431"/>
      <c r="D10" s="2431"/>
      <c r="E10" s="2431"/>
      <c r="F10" s="2431"/>
      <c r="G10" s="65"/>
      <c r="H10" s="65"/>
      <c r="I10" s="2556" t="str">
        <f>+O10</f>
        <v>NSW</v>
      </c>
      <c r="J10" s="2557"/>
      <c r="K10" s="2558"/>
      <c r="L10" s="2556" t="str">
        <f>+O10</f>
        <v>NSW</v>
      </c>
      <c r="M10" s="2557"/>
      <c r="N10" s="2557"/>
      <c r="O10" s="2559" t="str">
        <f>+Funding!E12</f>
        <v>NSW</v>
      </c>
      <c r="P10" s="2560"/>
      <c r="Q10" s="2561"/>
      <c r="R10" s="2557" t="str">
        <f>+O10</f>
        <v>NSW</v>
      </c>
      <c r="S10" s="2557"/>
      <c r="T10" s="2558"/>
      <c r="U10" s="2556" t="str">
        <f>+R10</f>
        <v>NSW</v>
      </c>
      <c r="V10" s="2557"/>
      <c r="W10" s="2558"/>
      <c r="X10" s="2556" t="str">
        <f>+U10</f>
        <v>NSW</v>
      </c>
      <c r="Y10" s="2557"/>
      <c r="Z10" s="2558"/>
      <c r="AA10" s="21"/>
      <c r="AC10" s="146"/>
      <c r="AD10" s="147" t="s">
        <v>43</v>
      </c>
      <c r="AE10" s="134" t="str">
        <f>+Settings!W7</f>
        <v>Varies</v>
      </c>
      <c r="AF10" s="134">
        <f>+Settings!X7</f>
        <v>157</v>
      </c>
      <c r="AG10" s="134" t="str">
        <f t="shared" ref="AG10:AL10" si="3">IF(AND(BX13&gt;=100000,BX13&lt;200000),2830+4*INT((BX13-99901)/100),IF(AND(BX13&gt;=200000,BX13&lt;250000),6830+4.5*INT((BX13-199901)/100),IF(AND(BX13&gt;=250000,BX13&lt;300000),8995+4.75*INT((BX13-249901)/100),IF(AND(BX13&gt;=300000,BX13&lt;500000),11330+5*INT((BX13-299901)/100),IF(BX13&gt;=500000,21330+5.5*INT((BX13-499901)/100),"Check")))))</f>
        <v>Check</v>
      </c>
      <c r="AH10" s="804" t="str">
        <f t="shared" si="3"/>
        <v>Check</v>
      </c>
      <c r="AI10" s="809" t="str">
        <f t="shared" si="3"/>
        <v>Check</v>
      </c>
      <c r="AJ10" s="806" t="str">
        <f t="shared" si="3"/>
        <v>Check</v>
      </c>
      <c r="AK10" s="134" t="str">
        <f t="shared" si="3"/>
        <v>Check</v>
      </c>
      <c r="AL10" s="134" t="str">
        <f t="shared" si="3"/>
        <v>Check</v>
      </c>
      <c r="AM10" s="94"/>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65"/>
      <c r="BR10" s="65"/>
      <c r="BS10" s="65"/>
      <c r="BT10" s="65"/>
      <c r="BU10" s="65"/>
      <c r="BV10" s="65"/>
      <c r="BW10" s="65"/>
      <c r="BX10" s="65"/>
      <c r="BY10" s="65"/>
      <c r="BZ10" s="65"/>
      <c r="CA10" s="65"/>
      <c r="CB10" s="65"/>
      <c r="CC10" s="65"/>
      <c r="CD10" s="65"/>
      <c r="CE10" s="613">
        <f>+Funding!CI10</f>
        <v>120000</v>
      </c>
      <c r="CF10" s="613">
        <f>+Funding!CJ10</f>
        <v>170</v>
      </c>
      <c r="CG10" s="613">
        <f>+Funding!CK10</f>
        <v>0</v>
      </c>
      <c r="CH10" s="613">
        <f>+Funding!CL10</f>
        <v>627</v>
      </c>
      <c r="CI10" s="613"/>
      <c r="CJ10" s="613">
        <f>+Funding!CN10</f>
        <v>197</v>
      </c>
      <c r="CK10" s="102"/>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row>
    <row r="11" spans="1:150" s="1" customFormat="1" ht="18.75" customHeight="1" x14ac:dyDescent="0.25">
      <c r="A11" s="492" t="s">
        <v>38</v>
      </c>
      <c r="B11" s="383"/>
      <c r="C11" s="383"/>
      <c r="D11" s="383"/>
      <c r="E11" s="383"/>
      <c r="F11" s="383"/>
      <c r="I11" s="1680" t="str">
        <f>LOOKUP(I10,$AD$7:AG13)</f>
        <v>NO DUTY</v>
      </c>
      <c r="J11" s="1681"/>
      <c r="K11" s="1682"/>
      <c r="L11" s="1680" t="str">
        <f>LOOKUP(L10,$AD$7:AH13)</f>
        <v>NO DUTY</v>
      </c>
      <c r="M11" s="1681"/>
      <c r="N11" s="1681"/>
      <c r="O11" s="2441" t="str">
        <f>LOOKUP(O10,$AD$7:AI13)</f>
        <v>NO DUTY</v>
      </c>
      <c r="P11" s="1681"/>
      <c r="Q11" s="2442"/>
      <c r="R11" s="1681" t="str">
        <f>LOOKUP(R10,$AD$7:AJ13)</f>
        <v>NO DUTY</v>
      </c>
      <c r="S11" s="1681"/>
      <c r="T11" s="1682"/>
      <c r="U11" s="1680" t="str">
        <f>LOOKUP(U10,AD7:AD14,AK7:AK14)</f>
        <v>NO DUTY</v>
      </c>
      <c r="V11" s="1681"/>
      <c r="W11" s="1682"/>
      <c r="X11" s="1680" t="str">
        <f>LOOKUP(X10,AD7:AD13,AL7:AL13)</f>
        <v>NO DUTY</v>
      </c>
      <c r="Y11" s="1681"/>
      <c r="Z11" s="1682"/>
      <c r="AA11" s="21"/>
      <c r="AC11" s="135"/>
      <c r="AD11" s="147" t="s">
        <v>44</v>
      </c>
      <c r="AE11" s="134">
        <f>+Settings!W8</f>
        <v>200</v>
      </c>
      <c r="AF11" s="134">
        <f>+Settings!X8</f>
        <v>131</v>
      </c>
      <c r="AG11" s="134" t="str">
        <f t="shared" ref="AG11:AL11" si="4">IF(AND(BX13&gt;=75000,BX13&lt;200000),1559+3.5*INT((BX13-79901)/100),IF(AND(BX13&gt;=200000,BX13&lt;375000),5934+4*INT((BX13-199901)/100),IF(AND(BX13&gt;=375000,BX13&lt;725000),12934+4.25*INT((BX13-374901)/100),IF(BX13&gt;=725000,27809+4.5*INT((BX13-724901)/100),"Check"))))</f>
        <v>Check</v>
      </c>
      <c r="AH11" s="134" t="str">
        <f t="shared" si="4"/>
        <v>Check</v>
      </c>
      <c r="AI11" s="809" t="str">
        <f t="shared" si="4"/>
        <v>Check</v>
      </c>
      <c r="AJ11" s="134" t="str">
        <f t="shared" si="4"/>
        <v>Check</v>
      </c>
      <c r="AK11" s="134" t="str">
        <f t="shared" si="4"/>
        <v>Check</v>
      </c>
      <c r="AL11" s="134" t="str">
        <f t="shared" si="4"/>
        <v>Check</v>
      </c>
      <c r="AM11" s="135"/>
      <c r="AN11" s="135"/>
      <c r="AO11" s="135"/>
      <c r="AP11" s="135"/>
      <c r="AQ11" s="135"/>
      <c r="AR11" s="135"/>
      <c r="AS11" s="135"/>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X11" s="817"/>
      <c r="BY11" s="818"/>
      <c r="BZ11" s="818" t="s">
        <v>253</v>
      </c>
      <c r="CA11" s="818"/>
      <c r="CB11" s="818"/>
      <c r="CC11" s="819"/>
      <c r="CE11" s="613">
        <f>+Funding!CI11</f>
        <v>200000</v>
      </c>
      <c r="CF11" s="613">
        <f>+Funding!CJ11</f>
        <v>190</v>
      </c>
      <c r="CG11" s="613">
        <f>+Funding!CK11</f>
        <v>0</v>
      </c>
      <c r="CH11" s="613">
        <f>+Funding!CL11</f>
        <v>873</v>
      </c>
      <c r="CI11" s="613"/>
      <c r="CJ11" s="613">
        <f>+Funding!CN11</f>
        <v>246</v>
      </c>
      <c r="CK11" s="102"/>
    </row>
    <row r="12" spans="1:150" s="1" customFormat="1" ht="18.75" customHeight="1" x14ac:dyDescent="0.25">
      <c r="A12" s="492" t="s">
        <v>40</v>
      </c>
      <c r="B12" s="383"/>
      <c r="C12" s="383"/>
      <c r="D12" s="383"/>
      <c r="E12" s="383"/>
      <c r="F12" s="383"/>
      <c r="G12" s="65"/>
      <c r="H12" s="65"/>
      <c r="I12" s="1680">
        <f>LOOKUP(I10,$AD$7:$AF$13)</f>
        <v>136</v>
      </c>
      <c r="J12" s="1681"/>
      <c r="K12" s="1682"/>
      <c r="L12" s="1680">
        <f>LOOKUP(L10,$AD$7:$AF$13)</f>
        <v>136</v>
      </c>
      <c r="M12" s="1681"/>
      <c r="N12" s="1681"/>
      <c r="O12" s="2441">
        <f>LOOKUP(O10,$AD$7:$AF$13)</f>
        <v>136</v>
      </c>
      <c r="P12" s="1681"/>
      <c r="Q12" s="2442"/>
      <c r="R12" s="1681">
        <f>LOOKUP(R10,$AD$7:$AF$13)</f>
        <v>136</v>
      </c>
      <c r="S12" s="1681"/>
      <c r="T12" s="1682"/>
      <c r="U12" s="1681">
        <f>LOOKUP(U10,$AD$7:$AF$13)</f>
        <v>136</v>
      </c>
      <c r="V12" s="1681"/>
      <c r="W12" s="1682"/>
      <c r="X12" s="1680">
        <f>LOOKUP(X10,$AD$7:$AF$13)</f>
        <v>136</v>
      </c>
      <c r="Y12" s="1681"/>
      <c r="Z12" s="1682"/>
      <c r="AA12" s="21"/>
      <c r="AC12" s="135"/>
      <c r="AD12" s="147" t="s">
        <v>45</v>
      </c>
      <c r="AE12" s="134">
        <f>IF(AI5&lt;500000,131.6+INT(+BX13/1000)*2.46,1362)</f>
        <v>131.6</v>
      </c>
      <c r="AF12" s="134">
        <f>+Settings!X9</f>
        <v>112.6</v>
      </c>
      <c r="AG12" s="134">
        <f t="shared" ref="AG12:AL12" si="5">IF(AND(BX13&gt;=0,BX13&lt;25000),0+INT(BX13*0.014),IF(AND(BX13&gt;=25000,BX13&lt;130000),350+INT((BX13-24999)*0.024),IF(AND(BX13&gt;=130000,BX13&lt;960000),2870+INT((BX13-129999)*0.06),IF(BX13&gt;=960000,INT((BX13)*0.05),"Check"))))</f>
        <v>0</v>
      </c>
      <c r="AH12" s="804">
        <f t="shared" si="5"/>
        <v>0</v>
      </c>
      <c r="AI12" s="809">
        <f t="shared" si="5"/>
        <v>0</v>
      </c>
      <c r="AJ12" s="806">
        <f t="shared" si="5"/>
        <v>0</v>
      </c>
      <c r="AK12" s="134">
        <f t="shared" si="5"/>
        <v>0</v>
      </c>
      <c r="AL12" s="134">
        <f t="shared" si="5"/>
        <v>0</v>
      </c>
      <c r="AM12" s="135"/>
      <c r="AN12" s="135"/>
      <c r="AO12" s="135"/>
      <c r="AP12" s="135"/>
      <c r="AQ12" s="135"/>
      <c r="AR12" s="135"/>
      <c r="AS12" s="135"/>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Z12" s="816"/>
      <c r="CE12" s="613">
        <f>+Funding!CI12</f>
        <v>300000</v>
      </c>
      <c r="CF12" s="613">
        <f>+Funding!CJ12</f>
        <v>210</v>
      </c>
      <c r="CG12" s="613">
        <f>+Funding!CK12</f>
        <v>0</v>
      </c>
      <c r="CH12" s="613">
        <f>+Funding!CL12</f>
        <v>1119</v>
      </c>
      <c r="CI12" s="613"/>
      <c r="CJ12" s="613">
        <f>+Funding!CN12</f>
        <v>246</v>
      </c>
    </row>
    <row r="13" spans="1:150" s="1" customFormat="1" ht="18.75" customHeight="1" x14ac:dyDescent="0.25">
      <c r="A13" s="481" t="s">
        <v>213</v>
      </c>
      <c r="B13" s="481"/>
      <c r="C13" s="481"/>
      <c r="D13" s="481"/>
      <c r="E13" s="481"/>
      <c r="F13" s="481"/>
      <c r="I13" s="1680">
        <f>LOOKUP(I10,$AD$7:$AE$13)</f>
        <v>272</v>
      </c>
      <c r="J13" s="1681"/>
      <c r="K13" s="1682"/>
      <c r="L13" s="1680">
        <f>LOOKUP(L10,$AD$7:$AE$13)</f>
        <v>272</v>
      </c>
      <c r="M13" s="1681"/>
      <c r="N13" s="1681"/>
      <c r="O13" s="2441">
        <f>LOOKUP(O10,$AD$7:$AE$13)</f>
        <v>272</v>
      </c>
      <c r="P13" s="1681"/>
      <c r="Q13" s="2442"/>
      <c r="R13" s="1681">
        <f>LOOKUP(R10,$AD$7:$AE$13)</f>
        <v>272</v>
      </c>
      <c r="S13" s="1681"/>
      <c r="T13" s="1682"/>
      <c r="U13" s="1680">
        <f>LOOKUP(U10,$AD$7:$AE$13)</f>
        <v>272</v>
      </c>
      <c r="V13" s="1681"/>
      <c r="W13" s="1682"/>
      <c r="X13" s="1680">
        <f>LOOKUP(X10,$AD$7:$AE$13)</f>
        <v>272</v>
      </c>
      <c r="Y13" s="1681"/>
      <c r="Z13" s="1682"/>
      <c r="AA13" s="21"/>
      <c r="AC13" s="135"/>
      <c r="AD13" s="147" t="s">
        <v>47</v>
      </c>
      <c r="AE13" s="134" t="str">
        <f>+Settings!W10</f>
        <v>Varies</v>
      </c>
      <c r="AF13" s="134">
        <f>+Settings!X10</f>
        <v>165.8</v>
      </c>
      <c r="AG13" s="134">
        <f t="shared" ref="AG13:AL13" si="6">IF(AND(BX13&gt;=0,BX13&lt;80000),1.9*INT((BX13)/100),IF(AND(BX13&gt;=80000,BX13&lt;100000),1520+2.85*INT((BX13-79901)/100),IF(AND(BX13&gt;=100000,BX13&lt;250000),2090+3.8*INT((BX13-99901)/100),IF(AND(BX13&gt;=250000,BX13&lt;500000),7790+4.75*INT((BX13-249901)/100),IF(BX13&gt;=500000,19665+5.15*INT((BX13-499901)/100),"Check")))))</f>
        <v>0</v>
      </c>
      <c r="AH13" s="134">
        <f t="shared" si="6"/>
        <v>0</v>
      </c>
      <c r="AI13" s="809">
        <f t="shared" si="6"/>
        <v>0</v>
      </c>
      <c r="AJ13" s="134">
        <f t="shared" si="6"/>
        <v>0</v>
      </c>
      <c r="AK13" s="134">
        <f t="shared" si="6"/>
        <v>0</v>
      </c>
      <c r="AL13" s="134">
        <f t="shared" si="6"/>
        <v>0</v>
      </c>
      <c r="AM13" s="135"/>
      <c r="AN13" s="135"/>
      <c r="AO13" s="135"/>
      <c r="AP13" s="135"/>
      <c r="AQ13" s="135"/>
      <c r="AR13" s="135"/>
      <c r="AS13" s="135"/>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X13" s="813">
        <f t="shared" ref="BX13:CC13" si="7">+AG5</f>
        <v>0</v>
      </c>
      <c r="BY13" s="813">
        <f t="shared" si="7"/>
        <v>0</v>
      </c>
      <c r="BZ13" s="814">
        <f t="shared" si="7"/>
        <v>0</v>
      </c>
      <c r="CA13" s="813">
        <f t="shared" si="7"/>
        <v>0</v>
      </c>
      <c r="CB13" s="813">
        <f t="shared" si="7"/>
        <v>0</v>
      </c>
      <c r="CC13" s="813">
        <f t="shared" si="7"/>
        <v>0</v>
      </c>
      <c r="CD13" s="813"/>
      <c r="CE13" s="613">
        <f>+Funding!CI13</f>
        <v>400000</v>
      </c>
      <c r="CF13" s="613">
        <f>+Funding!CJ13</f>
        <v>230</v>
      </c>
      <c r="CG13" s="613">
        <f>+Funding!CK13</f>
        <v>0</v>
      </c>
      <c r="CH13" s="613">
        <f>+Funding!CL13</f>
        <v>1362</v>
      </c>
      <c r="CI13" s="613"/>
      <c r="CJ13" s="613">
        <f>+Funding!CN13</f>
        <v>243</v>
      </c>
      <c r="CK13" s="65"/>
      <c r="CL13" s="813"/>
      <c r="CM13" s="813"/>
    </row>
    <row r="14" spans="1:150" s="1" customFormat="1" ht="18.75" customHeight="1" thickBot="1" x14ac:dyDescent="0.3">
      <c r="A14" s="2431" t="s">
        <v>42</v>
      </c>
      <c r="B14" s="2431"/>
      <c r="C14" s="2431"/>
      <c r="D14" s="2431"/>
      <c r="E14" s="2431"/>
      <c r="F14" s="2431"/>
      <c r="G14" s="65"/>
      <c r="H14" s="65"/>
      <c r="I14" s="1680">
        <f>+L14</f>
        <v>1650</v>
      </c>
      <c r="J14" s="1681"/>
      <c r="K14" s="1682"/>
      <c r="L14" s="1680">
        <f>+O14</f>
        <v>1650</v>
      </c>
      <c r="M14" s="1681"/>
      <c r="N14" s="1681"/>
      <c r="O14" s="2441">
        <f>+Funding!G20</f>
        <v>1650</v>
      </c>
      <c r="P14" s="1681"/>
      <c r="Q14" s="2442"/>
      <c r="R14" s="1681">
        <f>+O14</f>
        <v>1650</v>
      </c>
      <c r="S14" s="1681"/>
      <c r="T14" s="1682"/>
      <c r="U14" s="1680">
        <f>+R14</f>
        <v>1650</v>
      </c>
      <c r="V14" s="1681"/>
      <c r="W14" s="1682"/>
      <c r="X14" s="1680">
        <f>+U14</f>
        <v>1650</v>
      </c>
      <c r="Y14" s="1681"/>
      <c r="Z14" s="1682"/>
      <c r="AA14" s="21"/>
      <c r="AC14" s="135"/>
      <c r="AD14" s="147" t="s">
        <v>48</v>
      </c>
      <c r="AE14" s="134">
        <f>+Settings!W11</f>
        <v>142</v>
      </c>
      <c r="AF14" s="134">
        <f>+Settings!X11</f>
        <v>142</v>
      </c>
      <c r="AG14" s="134">
        <f t="shared" ref="AG14:AL14" si="8">IF(AND(BX13&gt;=0,BX13&lt;525000),(0.06571441*(INT(BX13/1000)*INT(BX13/1000))+(15*INT(BX13/1000))),IF(AND(BX13&gt;=525000,BX13&lt;3000000),4.95*INT((BX13)/100),IF(BX13&gt;=3000000,5.45*INT((BX13)/100),"Check")))</f>
        <v>0</v>
      </c>
      <c r="AH14" s="134">
        <f t="shared" si="8"/>
        <v>0</v>
      </c>
      <c r="AI14" s="809">
        <f t="shared" si="8"/>
        <v>0</v>
      </c>
      <c r="AJ14" s="134">
        <f t="shared" si="8"/>
        <v>0</v>
      </c>
      <c r="AK14" s="134">
        <f t="shared" si="8"/>
        <v>0</v>
      </c>
      <c r="AL14" s="134">
        <f t="shared" si="8"/>
        <v>0</v>
      </c>
      <c r="AM14" s="135"/>
      <c r="AN14" s="135"/>
      <c r="AO14" s="135"/>
      <c r="AP14" s="135"/>
      <c r="AQ14" s="135"/>
      <c r="AR14" s="135"/>
      <c r="AS14" s="135"/>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Z14" s="815"/>
      <c r="CE14" s="613">
        <f>+Funding!CI14</f>
        <v>500000</v>
      </c>
      <c r="CF14" s="613">
        <f>+Funding!CJ14</f>
        <v>250</v>
      </c>
      <c r="CG14" s="613">
        <f>+Funding!CK14</f>
        <v>0</v>
      </c>
      <c r="CH14" s="613">
        <f>+Funding!CL14</f>
        <v>0</v>
      </c>
      <c r="CI14" s="613"/>
      <c r="CJ14" s="613">
        <f>+Funding!CN14</f>
        <v>0</v>
      </c>
    </row>
    <row r="15" spans="1:150" s="1" customFormat="1" ht="18.75" customHeight="1" thickTop="1" x14ac:dyDescent="0.25">
      <c r="A15" s="2431" t="s">
        <v>207</v>
      </c>
      <c r="B15" s="2431"/>
      <c r="C15" s="2431"/>
      <c r="D15" s="2431"/>
      <c r="E15" s="2431"/>
      <c r="F15" s="2431"/>
      <c r="I15" s="1680">
        <f>+L15</f>
        <v>400</v>
      </c>
      <c r="J15" s="1681"/>
      <c r="K15" s="1682"/>
      <c r="L15" s="1680">
        <f>+O15</f>
        <v>400</v>
      </c>
      <c r="M15" s="1681"/>
      <c r="N15" s="1681"/>
      <c r="O15" s="2441">
        <f>+SUM(Funding!G21:I24)</f>
        <v>400</v>
      </c>
      <c r="P15" s="1681"/>
      <c r="Q15" s="2442"/>
      <c r="R15" s="1681">
        <f>+O15</f>
        <v>400</v>
      </c>
      <c r="S15" s="1681"/>
      <c r="T15" s="1682"/>
      <c r="U15" s="1680">
        <f>+R15</f>
        <v>400</v>
      </c>
      <c r="V15" s="1681"/>
      <c r="W15" s="1682"/>
      <c r="X15" s="1680">
        <f>+U15</f>
        <v>400</v>
      </c>
      <c r="Y15" s="1681"/>
      <c r="Z15" s="1682"/>
      <c r="AA15" s="21"/>
      <c r="AC15" s="135"/>
      <c r="AD15" s="135"/>
      <c r="AE15" s="135"/>
      <c r="AF15" s="135"/>
      <c r="AG15" s="135"/>
      <c r="AH15" s="135"/>
      <c r="AI15" s="810"/>
      <c r="AJ15" s="135"/>
      <c r="AK15" s="135"/>
      <c r="AL15" s="135"/>
      <c r="AM15" s="135"/>
      <c r="AN15" s="135"/>
      <c r="AO15" s="135"/>
      <c r="AP15" s="135"/>
      <c r="AQ15" s="135"/>
      <c r="AR15" s="135"/>
      <c r="AS15" s="135"/>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CE15" s="613">
        <f>+Funding!CI15</f>
        <v>600000</v>
      </c>
      <c r="CF15" s="613">
        <f>+Funding!CJ15</f>
        <v>270</v>
      </c>
      <c r="CG15" s="613">
        <f>+Funding!CK15</f>
        <v>0</v>
      </c>
      <c r="CH15" s="613">
        <f>+Funding!CL15</f>
        <v>0</v>
      </c>
      <c r="CI15" s="613"/>
      <c r="CJ15" s="613">
        <f>+Funding!CN15</f>
        <v>0</v>
      </c>
      <c r="CK15" s="65"/>
    </row>
    <row r="16" spans="1:150" s="1" customFormat="1" ht="18.75" customHeight="1" x14ac:dyDescent="0.25">
      <c r="A16" s="2490" t="s">
        <v>556</v>
      </c>
      <c r="B16" s="2490"/>
      <c r="C16" s="2490"/>
      <c r="D16" s="2490"/>
      <c r="E16" s="2490"/>
      <c r="F16" s="2490"/>
      <c r="I16" s="1680"/>
      <c r="J16" s="1681"/>
      <c r="K16" s="1682"/>
      <c r="L16" s="1680"/>
      <c r="M16" s="1681"/>
      <c r="N16" s="1681"/>
      <c r="O16" s="2441">
        <f>+Funding!G25</f>
        <v>0</v>
      </c>
      <c r="P16" s="1681"/>
      <c r="Q16" s="2442"/>
      <c r="R16" s="1681"/>
      <c r="S16" s="1681"/>
      <c r="T16" s="1682"/>
      <c r="U16" s="1680"/>
      <c r="V16" s="1681"/>
      <c r="W16" s="1682"/>
      <c r="X16" s="1680"/>
      <c r="Y16" s="1681"/>
      <c r="Z16" s="1682"/>
      <c r="AA16" s="51"/>
      <c r="AC16" s="135"/>
      <c r="AD16" s="872"/>
      <c r="AE16" s="132"/>
      <c r="AF16" s="132"/>
      <c r="AG16" s="145">
        <f t="shared" ref="AG16:AL16" si="9">+AG5</f>
        <v>0</v>
      </c>
      <c r="AH16" s="145">
        <f t="shared" si="9"/>
        <v>0</v>
      </c>
      <c r="AI16" s="811">
        <f t="shared" si="9"/>
        <v>0</v>
      </c>
      <c r="AJ16" s="145">
        <f t="shared" si="9"/>
        <v>0</v>
      </c>
      <c r="AK16" s="145">
        <f t="shared" si="9"/>
        <v>0</v>
      </c>
      <c r="AL16" s="145">
        <f t="shared" si="9"/>
        <v>0</v>
      </c>
      <c r="AM16" s="135"/>
      <c r="AN16" s="135"/>
      <c r="AO16" s="135"/>
      <c r="AP16" s="135"/>
      <c r="AQ16" s="135"/>
      <c r="AR16" s="135"/>
      <c r="AS16" s="135"/>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CE16" s="613">
        <f>+Funding!CI16</f>
        <v>700000</v>
      </c>
      <c r="CF16" s="613">
        <f>+Funding!CJ16</f>
        <v>290</v>
      </c>
      <c r="CG16" s="613">
        <f>+Funding!CK16</f>
        <v>0</v>
      </c>
      <c r="CH16" s="613">
        <f>+Funding!CL16</f>
        <v>0</v>
      </c>
      <c r="CI16" s="613"/>
      <c r="CJ16" s="613">
        <f>+Funding!CN16</f>
        <v>0</v>
      </c>
    </row>
    <row r="17" spans="1:88" s="1" customFormat="1" ht="18.75" customHeight="1" x14ac:dyDescent="0.25">
      <c r="A17" s="2497" t="s">
        <v>214</v>
      </c>
      <c r="B17" s="2497"/>
      <c r="C17" s="2497"/>
      <c r="D17" s="2497"/>
      <c r="E17" s="2497"/>
      <c r="F17" s="2497"/>
      <c r="I17" s="1787">
        <f>SUM(I9:K16)</f>
        <v>2458</v>
      </c>
      <c r="J17" s="1787"/>
      <c r="K17" s="1787"/>
      <c r="L17" s="1787">
        <f>SUM(L9:N16)</f>
        <v>2458</v>
      </c>
      <c r="M17" s="1787"/>
      <c r="N17" s="2491"/>
      <c r="O17" s="2492">
        <f>SUM(O9:Q16)</f>
        <v>2458</v>
      </c>
      <c r="P17" s="1787"/>
      <c r="Q17" s="2493"/>
      <c r="R17" s="2494">
        <f>SUM(R9:T16)</f>
        <v>2458</v>
      </c>
      <c r="S17" s="1787"/>
      <c r="T17" s="1787"/>
      <c r="U17" s="1787">
        <f>SUM(U9:W16)</f>
        <v>2458</v>
      </c>
      <c r="V17" s="1787"/>
      <c r="W17" s="1787"/>
      <c r="X17" s="1787">
        <f>SUM(X9:Z16)</f>
        <v>2458</v>
      </c>
      <c r="Y17" s="1787"/>
      <c r="Z17" s="1787"/>
      <c r="AA17" s="51"/>
      <c r="AC17" s="131"/>
      <c r="AD17" s="872"/>
      <c r="AE17" s="132"/>
      <c r="AF17" s="711"/>
      <c r="AG17" s="711" t="s">
        <v>35</v>
      </c>
      <c r="AH17" s="803" t="s">
        <v>35</v>
      </c>
      <c r="AI17" s="808" t="s">
        <v>35</v>
      </c>
      <c r="AJ17" s="805" t="s">
        <v>35</v>
      </c>
      <c r="AK17" s="711" t="s">
        <v>35</v>
      </c>
      <c r="AL17" s="711" t="s">
        <v>35</v>
      </c>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CE17" s="613">
        <f>+Funding!CI17</f>
        <v>800000</v>
      </c>
      <c r="CF17" s="613">
        <f>+Funding!CJ17</f>
        <v>310</v>
      </c>
      <c r="CG17" s="613">
        <f>+Funding!CK17</f>
        <v>0</v>
      </c>
      <c r="CH17" s="613">
        <f>+Funding!CL17</f>
        <v>0</v>
      </c>
      <c r="CI17" s="613"/>
      <c r="CJ17" s="613">
        <f>+Funding!CN17</f>
        <v>0</v>
      </c>
    </row>
    <row r="18" spans="1:88" s="1" customFormat="1" ht="18.75" customHeight="1" x14ac:dyDescent="0.25">
      <c r="A18" s="482"/>
      <c r="B18" s="482"/>
      <c r="C18" s="482"/>
      <c r="D18" s="482"/>
      <c r="E18" s="482"/>
      <c r="F18" s="375"/>
      <c r="O18" s="486"/>
      <c r="P18" s="73"/>
      <c r="Q18" s="487"/>
      <c r="AA18" s="51"/>
      <c r="AC18" s="131"/>
      <c r="AD18" s="872"/>
      <c r="AE18" s="132"/>
      <c r="AF18" s="147" t="s">
        <v>39</v>
      </c>
      <c r="AG18" s="134">
        <f>+Settings!$W$4</f>
        <v>262</v>
      </c>
      <c r="AH18" s="804">
        <f>+Settings!$W$4</f>
        <v>262</v>
      </c>
      <c r="AI18" s="809">
        <f>+Settings!$W$4</f>
        <v>262</v>
      </c>
      <c r="AJ18" s="806">
        <f>+Settings!$W$4</f>
        <v>262</v>
      </c>
      <c r="AK18" s="134">
        <f>+Settings!$W$4</f>
        <v>262</v>
      </c>
      <c r="AL18" s="134">
        <f>+Settings!$W$4</f>
        <v>262</v>
      </c>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CE18" s="613">
        <f>+Funding!CI18</f>
        <v>900000</v>
      </c>
      <c r="CF18" s="613">
        <f>+Funding!CJ18</f>
        <v>330</v>
      </c>
      <c r="CG18" s="613">
        <f>+Funding!CK18</f>
        <v>0</v>
      </c>
      <c r="CH18" s="613">
        <f>+Funding!CL18</f>
        <v>0</v>
      </c>
      <c r="CI18" s="613"/>
      <c r="CJ18" s="613">
        <f>+Funding!CN18</f>
        <v>0</v>
      </c>
    </row>
    <row r="19" spans="1:88" s="1" customFormat="1" ht="18.75" customHeight="1" x14ac:dyDescent="0.25">
      <c r="A19" s="482" t="s">
        <v>50</v>
      </c>
      <c r="B19" s="375"/>
      <c r="C19" s="375"/>
      <c r="D19" s="375"/>
      <c r="E19" s="375"/>
      <c r="F19" s="375"/>
      <c r="I19" s="2550" t="e">
        <f>+I17-I20</f>
        <v>#VALUE!</v>
      </c>
      <c r="J19" s="2550"/>
      <c r="K19" s="2551"/>
      <c r="L19" s="2550" t="e">
        <f>+L17-L20</f>
        <v>#VALUE!</v>
      </c>
      <c r="M19" s="2550"/>
      <c r="N19" s="2551"/>
      <c r="O19" s="2552" t="e">
        <f>+'Bud(LVR)'!O21:Q21</f>
        <v>#VALUE!</v>
      </c>
      <c r="P19" s="2550"/>
      <c r="Q19" s="2553"/>
      <c r="R19" s="2554" t="e">
        <f>+R17-R20</f>
        <v>#VALUE!</v>
      </c>
      <c r="S19" s="2550"/>
      <c r="T19" s="2550"/>
      <c r="U19" s="2554" t="e">
        <f>+U17-U20</f>
        <v>#VALUE!</v>
      </c>
      <c r="V19" s="2550"/>
      <c r="W19" s="2550"/>
      <c r="X19" s="2554" t="e">
        <f>+X17-X20</f>
        <v>#VALUE!</v>
      </c>
      <c r="Y19" s="2550"/>
      <c r="Z19" s="2550"/>
      <c r="AA19" s="51"/>
      <c r="AC19" s="131"/>
      <c r="AD19" s="872"/>
      <c r="AE19" s="132"/>
      <c r="AF19" s="147" t="s">
        <v>34</v>
      </c>
      <c r="AG19" s="134">
        <f>+Settings!$W$5</f>
        <v>272</v>
      </c>
      <c r="AH19" s="804">
        <f>+Settings!$W$5</f>
        <v>272</v>
      </c>
      <c r="AI19" s="809">
        <f>+Settings!$W$5</f>
        <v>272</v>
      </c>
      <c r="AJ19" s="806">
        <f>+Settings!$W$5</f>
        <v>272</v>
      </c>
      <c r="AK19" s="134">
        <f>+Settings!$W$5</f>
        <v>272</v>
      </c>
      <c r="AL19" s="134">
        <f>+Settings!$W$5</f>
        <v>272</v>
      </c>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CE19" s="613">
        <f>+Funding!CI19</f>
        <v>1000000</v>
      </c>
      <c r="CF19" s="613">
        <f>+Funding!CJ19</f>
        <v>350</v>
      </c>
      <c r="CG19" s="613">
        <f>+Funding!CK19</f>
        <v>0</v>
      </c>
      <c r="CH19" s="613">
        <f>+Funding!CL19</f>
        <v>0</v>
      </c>
      <c r="CI19" s="613"/>
      <c r="CJ19" s="613">
        <f>+Funding!CN19</f>
        <v>0</v>
      </c>
    </row>
    <row r="20" spans="1:88" s="1" customFormat="1" ht="18.75" customHeight="1" x14ac:dyDescent="0.25">
      <c r="A20" s="2497" t="s">
        <v>49</v>
      </c>
      <c r="B20" s="2497"/>
      <c r="C20" s="2497"/>
      <c r="D20" s="2497"/>
      <c r="E20" s="2568"/>
      <c r="F20" s="2569"/>
      <c r="G20" s="53"/>
      <c r="I20" s="2550" t="e">
        <f>+L20-X8</f>
        <v>#VALUE!</v>
      </c>
      <c r="J20" s="2550"/>
      <c r="K20" s="2551"/>
      <c r="L20" s="2550" t="e">
        <f>+O20-X8</f>
        <v>#VALUE!</v>
      </c>
      <c r="M20" s="2550"/>
      <c r="N20" s="2551"/>
      <c r="O20" s="2552" t="e">
        <f>+O17-O19</f>
        <v>#VALUE!</v>
      </c>
      <c r="P20" s="2550"/>
      <c r="Q20" s="2553"/>
      <c r="R20" s="2554" t="e">
        <f>+O20+X8</f>
        <v>#VALUE!</v>
      </c>
      <c r="S20" s="2550"/>
      <c r="T20" s="2550"/>
      <c r="U20" s="2554" t="e">
        <f>+R20+X8</f>
        <v>#VALUE!</v>
      </c>
      <c r="V20" s="2550"/>
      <c r="W20" s="2550"/>
      <c r="X20" s="2554" t="e">
        <f>+U20+X8</f>
        <v>#VALUE!</v>
      </c>
      <c r="Y20" s="2550"/>
      <c r="Z20" s="2550"/>
      <c r="AA20" s="51"/>
      <c r="AC20" s="131"/>
      <c r="AD20" s="872"/>
      <c r="AE20" s="132"/>
      <c r="AF20" s="147" t="s">
        <v>41</v>
      </c>
      <c r="AG20" s="134" t="s">
        <v>618</v>
      </c>
      <c r="AH20" s="804" t="s">
        <v>618</v>
      </c>
      <c r="AI20" s="809" t="s">
        <v>618</v>
      </c>
      <c r="AJ20" s="806" t="s">
        <v>618</v>
      </c>
      <c r="AK20" s="134" t="s">
        <v>618</v>
      </c>
      <c r="AL20" s="134" t="s">
        <v>618</v>
      </c>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CE20" s="613">
        <f>+Funding!CI20</f>
        <v>1100000</v>
      </c>
      <c r="CF20" s="613">
        <f>+Funding!CJ20</f>
        <v>370</v>
      </c>
      <c r="CG20" s="613">
        <f>+Funding!CK20</f>
        <v>0</v>
      </c>
      <c r="CH20" s="613">
        <f>+Funding!CL20</f>
        <v>0</v>
      </c>
      <c r="CI20" s="613"/>
      <c r="CJ20" s="613">
        <f>+Funding!CN20</f>
        <v>0</v>
      </c>
    </row>
    <row r="21" spans="1:88" s="1" customFormat="1" ht="18.75" customHeight="1" x14ac:dyDescent="0.25">
      <c r="A21" s="482" t="s">
        <v>54</v>
      </c>
      <c r="B21" s="375"/>
      <c r="C21" s="375"/>
      <c r="D21" s="375"/>
      <c r="E21" s="375"/>
      <c r="F21" s="375"/>
      <c r="I21" s="2525" t="e">
        <f>+I20/I9</f>
        <v>#VALUE!</v>
      </c>
      <c r="J21" s="2525"/>
      <c r="K21" s="2525"/>
      <c r="L21" s="2525" t="e">
        <f>+L20/L9</f>
        <v>#VALUE!</v>
      </c>
      <c r="M21" s="2525"/>
      <c r="N21" s="2526"/>
      <c r="O21" s="2544" t="e">
        <f>+O20/O9</f>
        <v>#VALUE!</v>
      </c>
      <c r="P21" s="2525"/>
      <c r="Q21" s="2545"/>
      <c r="R21" s="2529" t="e">
        <f>+R20/R9</f>
        <v>#VALUE!</v>
      </c>
      <c r="S21" s="2525"/>
      <c r="T21" s="2525"/>
      <c r="U21" s="2525" t="e">
        <f>+U20/U9</f>
        <v>#VALUE!</v>
      </c>
      <c r="V21" s="2525"/>
      <c r="W21" s="2525"/>
      <c r="X21" s="2525" t="e">
        <f>+X20/X9</f>
        <v>#VALUE!</v>
      </c>
      <c r="Y21" s="2525"/>
      <c r="Z21" s="2525"/>
      <c r="AA21" s="51"/>
      <c r="AC21" s="131"/>
      <c r="AD21" s="872"/>
      <c r="AE21" s="132"/>
      <c r="AF21" s="147" t="s">
        <v>43</v>
      </c>
      <c r="AG21" s="134" t="s">
        <v>618</v>
      </c>
      <c r="AH21" s="804" t="s">
        <v>618</v>
      </c>
      <c r="AI21" s="809" t="s">
        <v>618</v>
      </c>
      <c r="AJ21" s="806" t="s">
        <v>618</v>
      </c>
      <c r="AK21" s="134" t="s">
        <v>618</v>
      </c>
      <c r="AL21" s="134" t="s">
        <v>618</v>
      </c>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CE21" s="613">
        <f>+Funding!CI21</f>
        <v>1200000</v>
      </c>
      <c r="CF21" s="613">
        <f>+Funding!CJ21</f>
        <v>390</v>
      </c>
      <c r="CG21" s="613">
        <f>+Funding!CK21</f>
        <v>0</v>
      </c>
      <c r="CH21" s="613">
        <f>+Funding!CL21</f>
        <v>0</v>
      </c>
      <c r="CI21" s="613"/>
      <c r="CJ21" s="613">
        <f>+Funding!CN21</f>
        <v>0</v>
      </c>
    </row>
    <row r="22" spans="1:88" s="1" customFormat="1" ht="18.75" customHeight="1" x14ac:dyDescent="0.25">
      <c r="A22" s="482"/>
      <c r="B22" s="375"/>
      <c r="C22" s="375"/>
      <c r="D22" s="375"/>
      <c r="E22" s="375"/>
      <c r="F22" s="375"/>
      <c r="I22" s="7"/>
      <c r="J22" s="71"/>
      <c r="K22" s="71"/>
      <c r="L22" s="7"/>
      <c r="M22" s="361"/>
      <c r="N22" s="361"/>
      <c r="O22" s="488"/>
      <c r="P22" s="362"/>
      <c r="Q22" s="489"/>
      <c r="R22" s="358"/>
      <c r="S22" s="358"/>
      <c r="T22" s="359"/>
      <c r="U22" s="71"/>
      <c r="V22" s="71"/>
      <c r="W22" s="71"/>
      <c r="X22" s="71"/>
      <c r="Y22" s="71"/>
      <c r="Z22" s="71"/>
      <c r="AA22" s="51"/>
      <c r="AC22" s="131"/>
      <c r="AD22" s="872"/>
      <c r="AE22" s="132"/>
      <c r="AF22" s="147" t="s">
        <v>44</v>
      </c>
      <c r="AG22" s="134">
        <f>+Settings!$W$8</f>
        <v>200</v>
      </c>
      <c r="AH22" s="804">
        <f>+Settings!$W$8</f>
        <v>200</v>
      </c>
      <c r="AI22" s="809">
        <f>+Settings!$W$8</f>
        <v>200</v>
      </c>
      <c r="AJ22" s="806">
        <f>+Settings!$W$8</f>
        <v>200</v>
      </c>
      <c r="AK22" s="134">
        <f>+Settings!$W$8</f>
        <v>200</v>
      </c>
      <c r="AL22" s="134">
        <f>+Settings!$W$8</f>
        <v>200</v>
      </c>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CE22" s="613">
        <f>+Funding!CI22</f>
        <v>1300000</v>
      </c>
      <c r="CF22" s="613">
        <f>+Funding!CJ22</f>
        <v>410</v>
      </c>
      <c r="CG22" s="613">
        <f>+Funding!CK22</f>
        <v>0</v>
      </c>
      <c r="CH22" s="613">
        <f>+Funding!CL22</f>
        <v>0</v>
      </c>
      <c r="CI22" s="613"/>
      <c r="CJ22" s="613">
        <f>+Funding!CN22</f>
        <v>0</v>
      </c>
    </row>
    <row r="23" spans="1:88" s="1" customFormat="1" ht="18.75" customHeight="1" x14ac:dyDescent="0.25">
      <c r="A23" s="482" t="s">
        <v>51</v>
      </c>
      <c r="B23" s="375"/>
      <c r="C23" s="375"/>
      <c r="D23" s="375"/>
      <c r="E23" s="375"/>
      <c r="F23" s="375"/>
      <c r="I23" s="2468">
        <f>+L23</f>
        <v>0.04</v>
      </c>
      <c r="J23" s="2468"/>
      <c r="K23" s="2469"/>
      <c r="L23" s="2468">
        <f>+O23</f>
        <v>0.04</v>
      </c>
      <c r="M23" s="2468"/>
      <c r="N23" s="2469"/>
      <c r="O23" s="2474">
        <f>+Funding!E30</f>
        <v>0.04</v>
      </c>
      <c r="P23" s="2468"/>
      <c r="Q23" s="2475"/>
      <c r="R23" s="2480">
        <f>+O23</f>
        <v>0.04</v>
      </c>
      <c r="S23" s="2468"/>
      <c r="T23" s="2468"/>
      <c r="U23" s="2468">
        <f>+R23</f>
        <v>0.04</v>
      </c>
      <c r="V23" s="2468"/>
      <c r="W23" s="2468"/>
      <c r="X23" s="2468">
        <f>+U23</f>
        <v>0.04</v>
      </c>
      <c r="Y23" s="2468"/>
      <c r="Z23" s="2468"/>
      <c r="AA23" s="51"/>
      <c r="AC23" s="131"/>
      <c r="AD23" s="872"/>
      <c r="AE23" s="132"/>
      <c r="AF23" s="147" t="s">
        <v>45</v>
      </c>
      <c r="AG23" s="134">
        <f t="shared" ref="AG23:AL23" si="10">IF(AG16&lt;500000,131.6+INT(+AG16/1000)*2.46,1362)</f>
        <v>131.6</v>
      </c>
      <c r="AH23" s="804">
        <f t="shared" si="10"/>
        <v>131.6</v>
      </c>
      <c r="AI23" s="809">
        <f t="shared" si="10"/>
        <v>131.6</v>
      </c>
      <c r="AJ23" s="806">
        <f t="shared" si="10"/>
        <v>131.6</v>
      </c>
      <c r="AK23" s="134">
        <f t="shared" si="10"/>
        <v>131.6</v>
      </c>
      <c r="AL23" s="134">
        <f t="shared" si="10"/>
        <v>131.6</v>
      </c>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CE23" s="613">
        <f>+Funding!CI23</f>
        <v>1400000</v>
      </c>
      <c r="CF23" s="613">
        <f>+Funding!CJ23</f>
        <v>430</v>
      </c>
      <c r="CG23" s="613">
        <f>+Funding!CK23</f>
        <v>0</v>
      </c>
      <c r="CH23" s="613">
        <f>+Funding!CL23</f>
        <v>0</v>
      </c>
      <c r="CI23" s="613"/>
      <c r="CJ23" s="613">
        <f>+Funding!CN23</f>
        <v>0</v>
      </c>
    </row>
    <row r="24" spans="1:88" s="1" customFormat="1" ht="18.75" customHeight="1" x14ac:dyDescent="0.25">
      <c r="A24" s="482" t="s">
        <v>233</v>
      </c>
      <c r="B24" s="375"/>
      <c r="C24" s="375"/>
      <c r="D24" s="375"/>
      <c r="E24" s="375"/>
      <c r="F24" s="375"/>
      <c r="I24" s="2458" t="e">
        <f>+I20*I23/12</f>
        <v>#VALUE!</v>
      </c>
      <c r="J24" s="2458"/>
      <c r="K24" s="2458"/>
      <c r="L24" s="2458" t="e">
        <f>+L20*L23/12</f>
        <v>#VALUE!</v>
      </c>
      <c r="M24" s="2458"/>
      <c r="N24" s="2461"/>
      <c r="O24" s="2465" t="e">
        <f>+O20*O23/12</f>
        <v>#VALUE!</v>
      </c>
      <c r="P24" s="2458"/>
      <c r="Q24" s="2466"/>
      <c r="R24" s="2467" t="e">
        <f>+R20*R23/12</f>
        <v>#VALUE!</v>
      </c>
      <c r="S24" s="2458"/>
      <c r="T24" s="2458"/>
      <c r="U24" s="2458" t="e">
        <f>+U20*U23/12</f>
        <v>#VALUE!</v>
      </c>
      <c r="V24" s="2458"/>
      <c r="W24" s="2458"/>
      <c r="X24" s="2458" t="e">
        <f>+X20*X23/12</f>
        <v>#VALUE!</v>
      </c>
      <c r="Y24" s="2458"/>
      <c r="Z24" s="2458"/>
      <c r="AA24" s="51"/>
      <c r="AC24" s="131"/>
      <c r="AD24" s="872"/>
      <c r="AE24" s="132"/>
      <c r="AF24" s="147" t="s">
        <v>47</v>
      </c>
      <c r="AG24" s="134" t="s">
        <v>618</v>
      </c>
      <c r="AH24" s="804" t="s">
        <v>618</v>
      </c>
      <c r="AI24" s="809" t="s">
        <v>618</v>
      </c>
      <c r="AJ24" s="806" t="s">
        <v>618</v>
      </c>
      <c r="AK24" s="134" t="s">
        <v>618</v>
      </c>
      <c r="AL24" s="134" t="s">
        <v>618</v>
      </c>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CE24" s="613">
        <f>+Funding!CI24</f>
        <v>0</v>
      </c>
      <c r="CF24" s="613">
        <f>+Funding!CJ24</f>
        <v>0</v>
      </c>
      <c r="CG24" s="613">
        <f>+Funding!CK24</f>
        <v>0</v>
      </c>
      <c r="CH24" s="613">
        <f>+Funding!CL24</f>
        <v>0</v>
      </c>
      <c r="CI24" s="613"/>
      <c r="CJ24" s="613">
        <f>+Funding!CN24</f>
        <v>0</v>
      </c>
    </row>
    <row r="25" spans="1:88" s="1" customFormat="1" ht="18.75" customHeight="1" x14ac:dyDescent="0.25">
      <c r="A25" s="482" t="str">
        <f>CONCATENATE("Instalment pm – P&amp;I (",+O26,"y)")</f>
        <v>Instalment pm – P&amp;I (30y)</v>
      </c>
      <c r="B25" s="375"/>
      <c r="C25" s="375"/>
      <c r="D25" s="375"/>
      <c r="E25" s="375"/>
      <c r="F25" s="375"/>
      <c r="I25" s="2458" t="e">
        <f>PMT(I23/12,+O26*12,-I20)</f>
        <v>#VALUE!</v>
      </c>
      <c r="J25" s="2458"/>
      <c r="K25" s="2458"/>
      <c r="L25" s="2458" t="e">
        <f>PMT(L23/12,+O26*12,-L20)</f>
        <v>#VALUE!</v>
      </c>
      <c r="M25" s="2458"/>
      <c r="N25" s="2461"/>
      <c r="O25" s="2465" t="e">
        <f>PMT(O23/12,+O26*12,-O20)</f>
        <v>#VALUE!</v>
      </c>
      <c r="P25" s="2458"/>
      <c r="Q25" s="2466"/>
      <c r="R25" s="2467" t="e">
        <f>PMT(R23/12,+O26*12,-R20)</f>
        <v>#VALUE!</v>
      </c>
      <c r="S25" s="2458"/>
      <c r="T25" s="2458"/>
      <c r="U25" s="2458" t="e">
        <f>PMT(U23/12,+O26*12,-U20)</f>
        <v>#VALUE!</v>
      </c>
      <c r="V25" s="2458"/>
      <c r="W25" s="2458"/>
      <c r="X25" s="2458" t="e">
        <f>PMT(X23/12,+O26*12,-X20)</f>
        <v>#VALUE!</v>
      </c>
      <c r="Y25" s="2458"/>
      <c r="Z25" s="2458"/>
      <c r="AA25" s="51"/>
      <c r="AC25" s="131"/>
      <c r="AD25" s="872"/>
      <c r="AE25" s="132"/>
      <c r="AF25" s="147" t="s">
        <v>48</v>
      </c>
      <c r="AG25" s="134">
        <f>+Settings!$W$11</f>
        <v>142</v>
      </c>
      <c r="AH25" s="804">
        <f>+Settings!$W$11</f>
        <v>142</v>
      </c>
      <c r="AI25" s="809">
        <f>+Settings!$W$11</f>
        <v>142</v>
      </c>
      <c r="AJ25" s="806">
        <f>+Settings!$W$11</f>
        <v>142</v>
      </c>
      <c r="AK25" s="134">
        <f>+Settings!$W$11</f>
        <v>142</v>
      </c>
      <c r="AL25" s="134">
        <f>+Settings!$W$11</f>
        <v>142</v>
      </c>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CE25" s="613">
        <f>+Funding!CI25</f>
        <v>1500000</v>
      </c>
      <c r="CF25" s="613">
        <f>+Funding!CJ25</f>
        <v>450</v>
      </c>
      <c r="CG25" s="613">
        <f>+Funding!CK25</f>
        <v>0</v>
      </c>
      <c r="CH25" s="613">
        <f>+Funding!CL25</f>
        <v>0</v>
      </c>
      <c r="CI25" s="613"/>
      <c r="CJ25" s="613">
        <f>+Funding!CN25</f>
        <v>0</v>
      </c>
    </row>
    <row r="26" spans="1:88" s="1" customFormat="1" ht="18.75" customHeight="1" thickBot="1" x14ac:dyDescent="0.3">
      <c r="I26" s="2541"/>
      <c r="J26" s="2541"/>
      <c r="K26" s="2541"/>
      <c r="L26" s="2444" t="s">
        <v>275</v>
      </c>
      <c r="M26" s="2444"/>
      <c r="N26" s="2444"/>
      <c r="O26" s="2445">
        <f>+Funding!K31</f>
        <v>30</v>
      </c>
      <c r="P26" s="2446"/>
      <c r="Q26" s="2447"/>
      <c r="R26" s="2448" t="s">
        <v>274</v>
      </c>
      <c r="S26" s="2448"/>
      <c r="T26" s="2448"/>
      <c r="U26" s="2541"/>
      <c r="V26" s="2541"/>
      <c r="W26" s="2541"/>
      <c r="X26" s="2541"/>
      <c r="Y26" s="2541"/>
      <c r="Z26" s="2541"/>
      <c r="AA26" s="51"/>
      <c r="AC26" s="131"/>
      <c r="AD26" s="872"/>
      <c r="AE26" s="132"/>
      <c r="AF26" s="131"/>
      <c r="AG26" s="131"/>
      <c r="AH26" s="131"/>
      <c r="AI26" s="812"/>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CE26" s="613">
        <f>+Funding!CI26</f>
        <v>1600000</v>
      </c>
      <c r="CF26" s="613">
        <f>+Funding!CJ26</f>
        <v>470</v>
      </c>
      <c r="CG26" s="613">
        <f>+Funding!CK26</f>
        <v>0</v>
      </c>
      <c r="CH26" s="613">
        <f>+Funding!CL26</f>
        <v>0</v>
      </c>
      <c r="CI26" s="613"/>
      <c r="CJ26" s="613">
        <f>+Funding!CN26</f>
        <v>0</v>
      </c>
    </row>
    <row r="27" spans="1:88" s="1" customFormat="1" ht="18.75" customHeight="1" thickTop="1" x14ac:dyDescent="0.25">
      <c r="J27" s="51"/>
      <c r="K27" s="363"/>
      <c r="AA27" s="5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CE27" s="613">
        <f>+Funding!CI27</f>
        <v>1700000</v>
      </c>
      <c r="CF27" s="613">
        <f>+Funding!CJ27</f>
        <v>490</v>
      </c>
      <c r="CG27" s="613">
        <f>+Funding!CK27</f>
        <v>0</v>
      </c>
      <c r="CH27" s="613">
        <f>+Funding!CL27</f>
        <v>0</v>
      </c>
      <c r="CI27" s="613"/>
      <c r="CJ27" s="613">
        <f>+Funding!CN27</f>
        <v>0</v>
      </c>
    </row>
    <row r="28" spans="1:88" s="1" customFormat="1" ht="18.75" customHeight="1" x14ac:dyDescent="0.25">
      <c r="AA28" s="5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CE28" s="613">
        <f>+Funding!CI28</f>
        <v>1800000</v>
      </c>
      <c r="CF28" s="613">
        <f>+Funding!CJ28</f>
        <v>510</v>
      </c>
      <c r="CG28" s="613">
        <f>+Funding!CK28</f>
        <v>0</v>
      </c>
      <c r="CH28" s="613">
        <f>+Funding!CL28</f>
        <v>0</v>
      </c>
      <c r="CI28" s="613"/>
      <c r="CJ28" s="613">
        <f>+Funding!CN28</f>
        <v>0</v>
      </c>
    </row>
    <row r="29" spans="1:88" s="1" customFormat="1" ht="18.75" customHeight="1" thickBot="1" x14ac:dyDescent="0.3">
      <c r="AA29" s="5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CE29" s="613">
        <f>+Funding!CI29</f>
        <v>1900000</v>
      </c>
      <c r="CF29" s="613">
        <f>+Funding!CJ29</f>
        <v>530</v>
      </c>
      <c r="CG29" s="613">
        <f>+Funding!CK29</f>
        <v>0</v>
      </c>
      <c r="CH29" s="613">
        <f>+Funding!CL29</f>
        <v>0</v>
      </c>
      <c r="CI29" s="613"/>
      <c r="CJ29" s="613">
        <f>+Funding!CN29</f>
        <v>0</v>
      </c>
    </row>
    <row r="30" spans="1:88" s="1" customFormat="1" ht="18.75" customHeight="1" thickTop="1" x14ac:dyDescent="0.2">
      <c r="A30" s="2430" t="s">
        <v>245</v>
      </c>
      <c r="B30" s="2430"/>
      <c r="C30" s="2430"/>
      <c r="D30" s="2430"/>
      <c r="E30" s="2430"/>
      <c r="F30" s="2430"/>
      <c r="G30" s="2430"/>
      <c r="H30" s="2430"/>
      <c r="I30" s="2443" t="s">
        <v>244</v>
      </c>
      <c r="J30" s="2443"/>
      <c r="K30" s="2443"/>
      <c r="L30" s="2443" t="s">
        <v>244</v>
      </c>
      <c r="M30" s="2443"/>
      <c r="N30" s="2443"/>
      <c r="O30" s="2449" t="s">
        <v>242</v>
      </c>
      <c r="P30" s="2450"/>
      <c r="Q30" s="2451"/>
      <c r="R30" s="2443" t="s">
        <v>243</v>
      </c>
      <c r="S30" s="2443"/>
      <c r="T30" s="2443"/>
      <c r="U30" s="2443" t="s">
        <v>243</v>
      </c>
      <c r="V30" s="2443"/>
      <c r="W30" s="2443"/>
      <c r="X30" s="2443" t="s">
        <v>243</v>
      </c>
      <c r="Y30" s="2443"/>
      <c r="Z30" s="2443"/>
      <c r="AA30" s="5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CE30" s="613">
        <f>+Funding!CI30</f>
        <v>2000000</v>
      </c>
      <c r="CF30" s="613">
        <f>+Funding!CJ30</f>
        <v>550</v>
      </c>
      <c r="CG30" s="613">
        <f>+Funding!CK30</f>
        <v>0</v>
      </c>
      <c r="CH30" s="613">
        <f>+Funding!CL30</f>
        <v>0</v>
      </c>
      <c r="CI30" s="613"/>
      <c r="CJ30" s="613">
        <f>+Funding!CN30</f>
        <v>0</v>
      </c>
    </row>
    <row r="31" spans="1:88" s="1" customFormat="1" ht="18.75" customHeight="1" x14ac:dyDescent="0.25">
      <c r="A31" s="2495" t="s">
        <v>49</v>
      </c>
      <c r="B31" s="2495"/>
      <c r="C31" s="2495"/>
      <c r="D31" s="2495"/>
      <c r="E31" s="2568"/>
      <c r="F31" s="2569"/>
      <c r="G31" s="383"/>
      <c r="H31" s="53"/>
      <c r="I31" s="2482" t="e">
        <f>+O20</f>
        <v>#VALUE!</v>
      </c>
      <c r="J31" s="2482"/>
      <c r="K31" s="2482"/>
      <c r="L31" s="2482" t="e">
        <f>+O20</f>
        <v>#VALUE!</v>
      </c>
      <c r="M31" s="2482"/>
      <c r="N31" s="2483"/>
      <c r="O31" s="2484" t="e">
        <f>+O20</f>
        <v>#VALUE!</v>
      </c>
      <c r="P31" s="2482"/>
      <c r="Q31" s="2485"/>
      <c r="R31" s="2486" t="e">
        <f>+O20</f>
        <v>#VALUE!</v>
      </c>
      <c r="S31" s="2482"/>
      <c r="T31" s="2483"/>
      <c r="U31" s="2482" t="e">
        <f>+O20</f>
        <v>#VALUE!</v>
      </c>
      <c r="V31" s="2482"/>
      <c r="W31" s="2483"/>
      <c r="X31" s="2482" t="e">
        <f>+O20</f>
        <v>#VALUE!</v>
      </c>
      <c r="Y31" s="2482"/>
      <c r="Z31" s="2483"/>
      <c r="AA31" s="5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CE31" s="613">
        <f>+Funding!CI31</f>
        <v>99990000</v>
      </c>
      <c r="CF31" s="613">
        <f>+Funding!CJ31</f>
        <v>150</v>
      </c>
      <c r="CG31" s="613">
        <f>+Funding!CK31</f>
        <v>0</v>
      </c>
      <c r="CH31" s="613">
        <f>+Funding!CL31</f>
        <v>0</v>
      </c>
      <c r="CI31" s="613"/>
      <c r="CJ31" s="613">
        <f>+Funding!CN31</f>
        <v>0</v>
      </c>
    </row>
    <row r="32" spans="1:88" s="1" customFormat="1" ht="18.75" customHeight="1" x14ac:dyDescent="0.25">
      <c r="A32" s="482" t="s">
        <v>51</v>
      </c>
      <c r="B32" s="375"/>
      <c r="C32" s="375"/>
      <c r="D32" s="375"/>
      <c r="E32" s="375"/>
      <c r="F32" s="375"/>
      <c r="G32" s="375"/>
      <c r="I32" s="2469">
        <f>+L32-0.5%</f>
        <v>3.0000000000000002E-2</v>
      </c>
      <c r="J32" s="2477"/>
      <c r="K32" s="2480"/>
      <c r="L32" s="2469">
        <f>+O32-0.5%</f>
        <v>3.5000000000000003E-2</v>
      </c>
      <c r="M32" s="2477"/>
      <c r="N32" s="2477"/>
      <c r="O32" s="2478">
        <f>+O23</f>
        <v>0.04</v>
      </c>
      <c r="P32" s="2477"/>
      <c r="Q32" s="2479"/>
      <c r="R32" s="2477">
        <f>+O32+0.5%</f>
        <v>4.4999999999999998E-2</v>
      </c>
      <c r="S32" s="2477"/>
      <c r="T32" s="2480"/>
      <c r="U32" s="2469">
        <f>+R32+0.5%</f>
        <v>4.9999999999999996E-2</v>
      </c>
      <c r="V32" s="2477"/>
      <c r="W32" s="2480"/>
      <c r="X32" s="2469">
        <f>+U32+0.5%</f>
        <v>5.4999999999999993E-2</v>
      </c>
      <c r="Y32" s="2477"/>
      <c r="Z32" s="2477"/>
      <c r="AA32" s="5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row>
    <row r="33" spans="1:68" s="1" customFormat="1" ht="18.75" customHeight="1" x14ac:dyDescent="0.25">
      <c r="A33" s="482" t="s">
        <v>233</v>
      </c>
      <c r="B33" s="375"/>
      <c r="C33" s="375"/>
      <c r="D33" s="375"/>
      <c r="E33" s="375"/>
      <c r="F33" s="375"/>
      <c r="G33" s="375"/>
      <c r="I33" s="2458" t="e">
        <f>+I31*I32/12</f>
        <v>#VALUE!</v>
      </c>
      <c r="J33" s="2458"/>
      <c r="K33" s="2458"/>
      <c r="L33" s="2458" t="e">
        <f>+L31*L32/12</f>
        <v>#VALUE!</v>
      </c>
      <c r="M33" s="2458"/>
      <c r="N33" s="2461"/>
      <c r="O33" s="2465" t="e">
        <f>+O31*O32/12</f>
        <v>#VALUE!</v>
      </c>
      <c r="P33" s="2458"/>
      <c r="Q33" s="2466"/>
      <c r="R33" s="2467" t="e">
        <f>+R31*R32/12</f>
        <v>#VALUE!</v>
      </c>
      <c r="S33" s="2458"/>
      <c r="T33" s="2458"/>
      <c r="U33" s="2458" t="e">
        <f>+U31*U32/12</f>
        <v>#VALUE!</v>
      </c>
      <c r="V33" s="2458"/>
      <c r="W33" s="2458"/>
      <c r="X33" s="2458" t="e">
        <f>+X31*X32/12</f>
        <v>#VALUE!</v>
      </c>
      <c r="Y33" s="2458"/>
      <c r="Z33" s="2458"/>
      <c r="AA33" s="5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row>
    <row r="34" spans="1:68" s="1" customFormat="1" ht="18.75" customHeight="1" x14ac:dyDescent="0.25">
      <c r="A34" s="482" t="str">
        <f>CONCATENATE("Instalment pm – P&amp;I (",O35,"y)")</f>
        <v>Instalment pm – P&amp;I (30y)</v>
      </c>
      <c r="B34" s="375"/>
      <c r="C34" s="375"/>
      <c r="D34" s="375"/>
      <c r="E34" s="375"/>
      <c r="F34" s="375"/>
      <c r="G34" s="375"/>
      <c r="I34" s="2461" t="e">
        <f>PMT(I32/12,O35*12,-I31)</f>
        <v>#VALUE!</v>
      </c>
      <c r="J34" s="2470"/>
      <c r="K34" s="2467"/>
      <c r="L34" s="2461" t="e">
        <f>PMT(L32/12,O35*12,-L31)</f>
        <v>#VALUE!</v>
      </c>
      <c r="M34" s="2470"/>
      <c r="N34" s="2470"/>
      <c r="O34" s="2471" t="e">
        <f>PMT(O32/12,+O35*12,-O31)</f>
        <v>#VALUE!</v>
      </c>
      <c r="P34" s="2470"/>
      <c r="Q34" s="2472"/>
      <c r="R34" s="2470" t="e">
        <f>PMT(R32/12,+O35*12,-R31)</f>
        <v>#VALUE!</v>
      </c>
      <c r="S34" s="2470"/>
      <c r="T34" s="2467"/>
      <c r="U34" s="2461" t="e">
        <f>PMT(U32/12,+O35*12,-U31)</f>
        <v>#VALUE!</v>
      </c>
      <c r="V34" s="2470"/>
      <c r="W34" s="2467"/>
      <c r="X34" s="2461" t="e">
        <f>PMT(X32/12,+O35*12,-X31)</f>
        <v>#VALUE!</v>
      </c>
      <c r="Y34" s="2470"/>
      <c r="Z34" s="2467"/>
      <c r="AA34" s="5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row>
    <row r="35" spans="1:68" ht="18.75" customHeight="1" thickBot="1" x14ac:dyDescent="0.3">
      <c r="A35" s="1"/>
      <c r="B35" s="1"/>
      <c r="C35" s="1"/>
      <c r="D35" s="1"/>
      <c r="E35" s="1"/>
      <c r="F35" s="1"/>
      <c r="G35" s="1"/>
      <c r="H35" s="1"/>
      <c r="I35" s="1"/>
      <c r="J35" s="1"/>
      <c r="K35" s="1"/>
      <c r="L35" s="2444" t="s">
        <v>275</v>
      </c>
      <c r="M35" s="2444"/>
      <c r="N35" s="2444"/>
      <c r="O35" s="2445">
        <f>+O26</f>
        <v>30</v>
      </c>
      <c r="P35" s="2446"/>
      <c r="Q35" s="2447"/>
      <c r="R35" s="2448" t="str">
        <f>+R26</f>
        <v>years</v>
      </c>
      <c r="S35" s="2448"/>
      <c r="T35" s="2448"/>
      <c r="U35" s="1"/>
      <c r="V35" s="1"/>
      <c r="W35" s="1"/>
      <c r="X35" s="1"/>
      <c r="Y35" s="1"/>
      <c r="Z35" s="1"/>
      <c r="AA35" s="53"/>
      <c r="AB35" s="27"/>
    </row>
    <row r="36" spans="1:68" ht="18.75" customHeight="1" thickTop="1" x14ac:dyDescent="0.25">
      <c r="A36" s="364"/>
      <c r="B36" s="364"/>
      <c r="C36" s="61"/>
      <c r="D36" s="1"/>
      <c r="E36" s="1"/>
      <c r="F36" s="1"/>
      <c r="G36" s="1"/>
      <c r="H36" s="1"/>
      <c r="I36" s="1"/>
      <c r="J36" s="1"/>
      <c r="K36" s="1"/>
      <c r="L36" s="1"/>
      <c r="M36" s="1"/>
      <c r="N36" s="1"/>
      <c r="O36" s="1"/>
      <c r="P36" s="1"/>
      <c r="Q36" s="1"/>
      <c r="R36" s="1"/>
      <c r="S36" s="1"/>
      <c r="T36" s="1"/>
      <c r="U36" s="1"/>
      <c r="V36" s="1"/>
      <c r="W36" s="1"/>
      <c r="X36" s="1"/>
      <c r="Y36" s="1"/>
      <c r="Z36" s="1"/>
      <c r="AA36" s="53"/>
    </row>
    <row r="37" spans="1:68" ht="18.75" customHeight="1" x14ac:dyDescent="0.25">
      <c r="A37" s="364"/>
      <c r="B37" s="364"/>
      <c r="C37" s="61"/>
      <c r="D37" s="1"/>
      <c r="E37" s="1"/>
      <c r="F37" s="1"/>
      <c r="G37" s="1"/>
      <c r="H37" s="1"/>
      <c r="I37" s="1"/>
      <c r="J37" s="1"/>
      <c r="K37" s="1"/>
      <c r="L37" s="1"/>
      <c r="M37" s="1"/>
      <c r="N37" s="1"/>
      <c r="O37" s="1"/>
      <c r="P37" s="1"/>
      <c r="Q37" s="1"/>
      <c r="R37" s="1"/>
      <c r="S37" s="1"/>
      <c r="T37" s="1"/>
      <c r="U37" s="1"/>
      <c r="V37" s="1"/>
      <c r="W37" s="1"/>
      <c r="X37" s="1"/>
      <c r="Y37" s="1"/>
      <c r="Z37" s="1"/>
      <c r="AA37" s="53"/>
    </row>
    <row r="38" spans="1:68" ht="18.75" customHeight="1" x14ac:dyDescent="0.25">
      <c r="A38" s="364"/>
      <c r="B38" s="364"/>
      <c r="C38" s="61"/>
      <c r="D38" s="1"/>
      <c r="E38" s="1"/>
      <c r="F38" s="1"/>
      <c r="G38" s="1"/>
      <c r="H38" s="1"/>
      <c r="I38" s="1"/>
      <c r="J38" s="1"/>
      <c r="K38" s="1"/>
      <c r="L38" s="1"/>
      <c r="M38" s="1"/>
      <c r="N38" s="1"/>
      <c r="O38" s="1"/>
      <c r="P38" s="1"/>
      <c r="Q38" s="1"/>
      <c r="R38" s="1"/>
      <c r="S38" s="1"/>
      <c r="T38" s="1"/>
      <c r="U38" s="1"/>
      <c r="V38" s="1"/>
      <c r="W38" s="1"/>
      <c r="X38" s="1"/>
      <c r="Y38" s="1"/>
      <c r="Z38" s="1"/>
      <c r="AA38" s="53"/>
    </row>
    <row r="39" spans="1:68" ht="18.75" customHeight="1" x14ac:dyDescent="0.25">
      <c r="A39" s="364"/>
      <c r="B39" s="364"/>
      <c r="C39" s="61"/>
      <c r="D39" s="1"/>
      <c r="E39" s="1"/>
      <c r="F39" s="1"/>
      <c r="G39" s="1"/>
      <c r="H39" s="1"/>
      <c r="I39" s="1"/>
      <c r="J39" s="1"/>
      <c r="K39" s="1"/>
      <c r="L39" s="1"/>
      <c r="M39" s="1"/>
      <c r="N39" s="1"/>
      <c r="O39" s="1"/>
      <c r="P39" s="1"/>
      <c r="Q39" s="1"/>
      <c r="R39" s="1"/>
      <c r="S39" s="1"/>
      <c r="T39" s="1"/>
      <c r="U39" s="1"/>
      <c r="V39" s="1"/>
      <c r="W39" s="1"/>
      <c r="X39" s="1"/>
      <c r="Y39" s="1"/>
      <c r="Z39" s="1"/>
      <c r="AA39" s="53"/>
    </row>
    <row r="40" spans="1:68" ht="18.75" customHeight="1" x14ac:dyDescent="0.25">
      <c r="A40" s="49"/>
      <c r="B40" s="49"/>
      <c r="C40" s="49"/>
      <c r="D40" s="67"/>
      <c r="E40" s="67"/>
      <c r="F40" s="67"/>
      <c r="G40" s="67"/>
      <c r="H40" s="67"/>
      <c r="I40" s="67"/>
      <c r="J40" s="67"/>
      <c r="K40" s="67"/>
      <c r="L40" s="67"/>
      <c r="M40" s="67"/>
      <c r="N40" s="67"/>
      <c r="O40" s="67"/>
      <c r="P40" s="67"/>
      <c r="Q40" s="67"/>
      <c r="R40" s="67"/>
      <c r="S40" s="67"/>
      <c r="T40" s="67"/>
      <c r="U40" s="67"/>
      <c r="V40" s="67"/>
      <c r="W40" s="67"/>
      <c r="X40" s="67"/>
      <c r="Y40" s="67"/>
      <c r="Z40" s="67"/>
      <c r="AA40" s="53"/>
    </row>
    <row r="41" spans="1:68" ht="18.75" customHeight="1" x14ac:dyDescent="0.25">
      <c r="A41" s="30"/>
      <c r="B41" s="30"/>
      <c r="C41" s="30"/>
      <c r="D41" s="30"/>
      <c r="E41" s="30"/>
      <c r="F41" s="30"/>
      <c r="G41" s="30"/>
      <c r="H41" s="30"/>
      <c r="I41" s="30"/>
      <c r="J41" s="30"/>
      <c r="K41" s="30"/>
      <c r="L41" s="30"/>
      <c r="M41" s="30"/>
      <c r="N41" s="30"/>
      <c r="O41" s="30"/>
      <c r="P41" s="30"/>
      <c r="Q41" s="31"/>
      <c r="R41" s="30"/>
      <c r="S41" s="30"/>
    </row>
    <row r="42" spans="1:68" ht="18.75" customHeight="1" x14ac:dyDescent="0.25">
      <c r="A42" s="30"/>
      <c r="B42" s="30"/>
      <c r="C42" s="30"/>
      <c r="D42" s="30"/>
      <c r="E42" s="30"/>
      <c r="F42" s="30"/>
      <c r="G42" s="30"/>
      <c r="H42" s="30"/>
      <c r="I42" s="30"/>
      <c r="J42" s="30"/>
      <c r="K42" s="30"/>
      <c r="L42" s="30"/>
      <c r="M42" s="30"/>
      <c r="N42" s="30"/>
      <c r="O42" s="30"/>
      <c r="P42" s="30"/>
      <c r="Q42" s="31"/>
      <c r="R42" s="30"/>
      <c r="S42" s="30"/>
    </row>
  </sheetData>
  <sheetProtection sheet="1" objects="1" scenarios="1"/>
  <mergeCells count="156">
    <mergeCell ref="L35:N35"/>
    <mergeCell ref="O35:Q35"/>
    <mergeCell ref="R35:T35"/>
    <mergeCell ref="I34:K34"/>
    <mergeCell ref="L34:N34"/>
    <mergeCell ref="O34:Q34"/>
    <mergeCell ref="R34:T34"/>
    <mergeCell ref="U34:W34"/>
    <mergeCell ref="X34:Z34"/>
    <mergeCell ref="I33:K33"/>
    <mergeCell ref="L33:N33"/>
    <mergeCell ref="O33:Q33"/>
    <mergeCell ref="R33:T33"/>
    <mergeCell ref="U33:W33"/>
    <mergeCell ref="X33:Z33"/>
    <mergeCell ref="I32:K32"/>
    <mergeCell ref="L32:N32"/>
    <mergeCell ref="O32:Q32"/>
    <mergeCell ref="R32:T32"/>
    <mergeCell ref="U32:W32"/>
    <mergeCell ref="X32:Z32"/>
    <mergeCell ref="X30:Z30"/>
    <mergeCell ref="A31:D31"/>
    <mergeCell ref="E31:F31"/>
    <mergeCell ref="I31:K31"/>
    <mergeCell ref="L31:N31"/>
    <mergeCell ref="O31:Q31"/>
    <mergeCell ref="R31:T31"/>
    <mergeCell ref="U31:W31"/>
    <mergeCell ref="X31:Z31"/>
    <mergeCell ref="A30:H30"/>
    <mergeCell ref="I30:K30"/>
    <mergeCell ref="L30:N30"/>
    <mergeCell ref="O30:Q30"/>
    <mergeCell ref="R30:T30"/>
    <mergeCell ref="U30:W30"/>
    <mergeCell ref="I26:K26"/>
    <mergeCell ref="L26:N26"/>
    <mergeCell ref="O26:Q26"/>
    <mergeCell ref="R26:T26"/>
    <mergeCell ref="U26:W26"/>
    <mergeCell ref="X26:Z26"/>
    <mergeCell ref="I25:K25"/>
    <mergeCell ref="L25:N25"/>
    <mergeCell ref="O25:Q25"/>
    <mergeCell ref="R25:T25"/>
    <mergeCell ref="U25:W25"/>
    <mergeCell ref="X25:Z25"/>
    <mergeCell ref="I24:K24"/>
    <mergeCell ref="L24:N24"/>
    <mergeCell ref="O24:Q24"/>
    <mergeCell ref="R24:T24"/>
    <mergeCell ref="U24:W24"/>
    <mergeCell ref="X24:Z24"/>
    <mergeCell ref="I23:K23"/>
    <mergeCell ref="L23:N23"/>
    <mergeCell ref="O23:Q23"/>
    <mergeCell ref="R23:T23"/>
    <mergeCell ref="U23:W23"/>
    <mergeCell ref="X23:Z23"/>
    <mergeCell ref="U20:W20"/>
    <mergeCell ref="X20:Z20"/>
    <mergeCell ref="I21:K21"/>
    <mergeCell ref="L21:N21"/>
    <mergeCell ref="O21:Q21"/>
    <mergeCell ref="R21:T21"/>
    <mergeCell ref="U21:W21"/>
    <mergeCell ref="X21:Z21"/>
    <mergeCell ref="A20:D20"/>
    <mergeCell ref="E20:F20"/>
    <mergeCell ref="I20:K20"/>
    <mergeCell ref="L20:N20"/>
    <mergeCell ref="O20:Q20"/>
    <mergeCell ref="R20:T20"/>
    <mergeCell ref="I19:K19"/>
    <mergeCell ref="L19:N19"/>
    <mergeCell ref="O19:Q19"/>
    <mergeCell ref="R19:T19"/>
    <mergeCell ref="U19:W19"/>
    <mergeCell ref="X19:Z19"/>
    <mergeCell ref="X16:Z16"/>
    <mergeCell ref="A17:F17"/>
    <mergeCell ref="I17:K17"/>
    <mergeCell ref="L17:N17"/>
    <mergeCell ref="O17:Q17"/>
    <mergeCell ref="R17:T17"/>
    <mergeCell ref="U17:W17"/>
    <mergeCell ref="X17:Z17"/>
    <mergeCell ref="A16:F16"/>
    <mergeCell ref="I16:K16"/>
    <mergeCell ref="L16:N16"/>
    <mergeCell ref="O16:Q16"/>
    <mergeCell ref="R16:T16"/>
    <mergeCell ref="U16:W16"/>
    <mergeCell ref="X14:Z14"/>
    <mergeCell ref="A15:F15"/>
    <mergeCell ref="I15:K15"/>
    <mergeCell ref="L15:N15"/>
    <mergeCell ref="O15:Q15"/>
    <mergeCell ref="R15:T15"/>
    <mergeCell ref="U15:W15"/>
    <mergeCell ref="X15:Z15"/>
    <mergeCell ref="A14:F14"/>
    <mergeCell ref="I14:K14"/>
    <mergeCell ref="L14:N14"/>
    <mergeCell ref="O14:Q14"/>
    <mergeCell ref="R14:T14"/>
    <mergeCell ref="U14:W14"/>
    <mergeCell ref="B6:Z6"/>
    <mergeCell ref="O9:Q9"/>
    <mergeCell ref="R9:T9"/>
    <mergeCell ref="U9:W9"/>
    <mergeCell ref="I13:K13"/>
    <mergeCell ref="L13:N13"/>
    <mergeCell ref="O13:Q13"/>
    <mergeCell ref="R13:T13"/>
    <mergeCell ref="U13:W13"/>
    <mergeCell ref="X13:Z13"/>
    <mergeCell ref="I12:K12"/>
    <mergeCell ref="L12:N12"/>
    <mergeCell ref="O12:Q12"/>
    <mergeCell ref="R12:T12"/>
    <mergeCell ref="U12:W12"/>
    <mergeCell ref="X12:Z12"/>
    <mergeCell ref="A7:W7"/>
    <mergeCell ref="X7:Z7"/>
    <mergeCell ref="A8:H8"/>
    <mergeCell ref="O8:Q8"/>
    <mergeCell ref="X8:Z8"/>
    <mergeCell ref="I11:K11"/>
    <mergeCell ref="L11:N11"/>
    <mergeCell ref="O11:Q11"/>
    <mergeCell ref="R11:T11"/>
    <mergeCell ref="U11:W11"/>
    <mergeCell ref="X11:Z11"/>
    <mergeCell ref="X9:Z9"/>
    <mergeCell ref="A10:F10"/>
    <mergeCell ref="I10:K10"/>
    <mergeCell ref="L10:N10"/>
    <mergeCell ref="O10:Q10"/>
    <mergeCell ref="R10:T10"/>
    <mergeCell ref="U10:W10"/>
    <mergeCell ref="X10:Z10"/>
    <mergeCell ref="A9:F9"/>
    <mergeCell ref="I9:K9"/>
    <mergeCell ref="L9:N9"/>
    <mergeCell ref="A1:U1"/>
    <mergeCell ref="A2:AA2"/>
    <mergeCell ref="B3:F3"/>
    <mergeCell ref="H3:R3"/>
    <mergeCell ref="S3:U3"/>
    <mergeCell ref="V3:AA3"/>
    <mergeCell ref="B4:F4"/>
    <mergeCell ref="H4:J4"/>
    <mergeCell ref="S4:U4"/>
    <mergeCell ref="V4:Z4"/>
  </mergeCells>
  <conditionalFormatting sqref="I21:K21">
    <cfRule type="expression" dxfId="13" priority="6">
      <formula>I21&gt;0.8</formula>
    </cfRule>
  </conditionalFormatting>
  <conditionalFormatting sqref="L21:N21">
    <cfRule type="expression" dxfId="12" priority="5">
      <formula>L21&gt;0.8</formula>
    </cfRule>
  </conditionalFormatting>
  <conditionalFormatting sqref="O21:Q21">
    <cfRule type="expression" dxfId="11" priority="4">
      <formula>O21&gt;0.8</formula>
    </cfRule>
  </conditionalFormatting>
  <conditionalFormatting sqref="R21:T21">
    <cfRule type="expression" dxfId="10" priority="3">
      <formula>R21&gt;0.8</formula>
    </cfRule>
  </conditionalFormatting>
  <conditionalFormatting sqref="U21:W21">
    <cfRule type="expression" dxfId="9" priority="2">
      <formula>U21&gt;0.8</formula>
    </cfRule>
  </conditionalFormatting>
  <conditionalFormatting sqref="X21:Z21">
    <cfRule type="expression" dxfId="8" priority="1">
      <formula>X21&gt;0.8</formula>
    </cfRule>
  </conditionalFormatting>
  <dataValidations count="1">
    <dataValidation type="list" allowBlank="1" showInputMessage="1" showErrorMessage="1" sqref="I10:Z10">
      <formula1>$AD$7:$AD$13</formula1>
    </dataValidation>
  </dataValidations>
  <pageMargins left="0.23622047244094491" right="0.23622047244094491" top="0.74803149606299213" bottom="0.74803149606299213" header="0.31496062992125984" footer="0"/>
  <pageSetup paperSize="9" scale="94" orientation="portrait" r:id="rId1"/>
  <headerFooter>
    <oddHeader>&amp;R&amp;G</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S183"/>
  <sheetViews>
    <sheetView topLeftCell="Q13" workbookViewId="0">
      <selection activeCell="AE41" sqref="AE41"/>
    </sheetView>
  </sheetViews>
  <sheetFormatPr defaultColWidth="8.5703125" defaultRowHeight="15" x14ac:dyDescent="0.25"/>
  <cols>
    <col min="1" max="1" width="6.5703125" style="8" bestFit="1" customWidth="1"/>
    <col min="2" max="2" width="22.5703125" style="8" bestFit="1" customWidth="1"/>
    <col min="3" max="3" width="7.5703125" style="3" bestFit="1" customWidth="1"/>
    <col min="4" max="4" width="7.140625" style="3" bestFit="1" customWidth="1"/>
    <col min="5" max="5" width="6" style="3" bestFit="1" customWidth="1"/>
    <col min="6" max="7" width="6" style="3" customWidth="1"/>
    <col min="8" max="8" width="6" style="372" customWidth="1"/>
    <col min="9" max="9" width="6.5703125" style="3" bestFit="1" customWidth="1"/>
    <col min="10" max="10" width="6.5703125" style="3" customWidth="1"/>
    <col min="11" max="19" width="6" style="3" customWidth="1"/>
    <col min="20" max="20" width="10.5703125" style="349" bestFit="1" customWidth="1"/>
    <col min="21" max="22" width="8.5703125" style="8"/>
    <col min="23" max="23" width="9.5703125" style="8" bestFit="1" customWidth="1"/>
    <col min="24" max="25" width="8.5703125" style="8"/>
    <col min="26" max="26" width="14.28515625" style="8" customWidth="1"/>
    <col min="27" max="27" width="8.5703125" style="8"/>
    <col min="28" max="28" width="18.28515625" style="8" bestFit="1" customWidth="1"/>
    <col min="29" max="29" width="19.28515625" style="8" bestFit="1" customWidth="1"/>
    <col min="30" max="30" width="8.5703125" style="8"/>
    <col min="31" max="31" width="14" style="8" bestFit="1" customWidth="1"/>
    <col min="32" max="32" width="50.28515625" style="8" customWidth="1"/>
    <col min="33" max="33" width="8.5703125" style="8"/>
    <col min="34" max="34" width="16.140625" style="8" customWidth="1"/>
    <col min="35" max="16384" width="8.5703125" style="8"/>
  </cols>
  <sheetData>
    <row r="1" spans="1:34" s="333" customFormat="1" ht="23.25" x14ac:dyDescent="0.35">
      <c r="B1" s="334" t="s">
        <v>508</v>
      </c>
      <c r="C1" s="339">
        <v>7.2</v>
      </c>
      <c r="D1" s="339"/>
      <c r="E1" s="339"/>
      <c r="F1" s="339"/>
      <c r="G1" s="339"/>
      <c r="H1" s="368"/>
      <c r="I1" s="339"/>
      <c r="J1" s="339"/>
      <c r="K1" s="339"/>
      <c r="L1" s="339"/>
      <c r="M1" s="339"/>
      <c r="N1" s="339"/>
      <c r="O1" s="339"/>
      <c r="P1" s="339"/>
      <c r="Q1" s="339"/>
      <c r="R1" s="339"/>
      <c r="S1" s="339"/>
      <c r="T1" s="344"/>
    </row>
    <row r="2" spans="1:34" s="124" customFormat="1" x14ac:dyDescent="0.25">
      <c r="A2" s="124" t="s">
        <v>26</v>
      </c>
      <c r="B2" s="124" t="s">
        <v>326</v>
      </c>
      <c r="C2" s="6" t="s">
        <v>80</v>
      </c>
      <c r="D2" s="6" t="s">
        <v>425</v>
      </c>
      <c r="E2" s="6" t="s">
        <v>426</v>
      </c>
      <c r="F2" s="6" t="s">
        <v>491</v>
      </c>
      <c r="G2" s="6" t="s">
        <v>492</v>
      </c>
      <c r="H2" s="369" t="s">
        <v>493</v>
      </c>
      <c r="I2" s="367" t="str">
        <f>+Lenders</f>
        <v>Lender</v>
      </c>
      <c r="J2" s="367" t="s">
        <v>773</v>
      </c>
      <c r="K2" s="6" t="s">
        <v>498</v>
      </c>
      <c r="L2" s="6" t="s">
        <v>517</v>
      </c>
      <c r="M2" s="6" t="s">
        <v>518</v>
      </c>
      <c r="N2" s="6" t="s">
        <v>519</v>
      </c>
      <c r="O2" s="6" t="s">
        <v>511</v>
      </c>
      <c r="P2" s="6" t="s">
        <v>512</v>
      </c>
      <c r="Q2" s="6" t="s">
        <v>513</v>
      </c>
      <c r="R2" s="6" t="s">
        <v>514</v>
      </c>
      <c r="S2" s="6" t="s">
        <v>515</v>
      </c>
      <c r="T2" s="345" t="s">
        <v>516</v>
      </c>
      <c r="V2" s="124" t="s">
        <v>353</v>
      </c>
      <c r="W2" s="124" t="s">
        <v>35</v>
      </c>
      <c r="X2" s="124" t="s">
        <v>36</v>
      </c>
      <c r="Z2" s="124" t="s">
        <v>369</v>
      </c>
      <c r="AB2" s="124" t="s">
        <v>429</v>
      </c>
      <c r="AD2" s="124" t="s">
        <v>549</v>
      </c>
      <c r="AF2" s="124" t="s">
        <v>354</v>
      </c>
      <c r="AH2" s="124" t="s">
        <v>696</v>
      </c>
    </row>
    <row r="3" spans="1:34" x14ac:dyDescent="0.25">
      <c r="A3" s="8" t="s">
        <v>336</v>
      </c>
      <c r="B3" s="8" t="s">
        <v>335</v>
      </c>
      <c r="C3" s="338">
        <v>6.0000000000000001E-3</v>
      </c>
      <c r="D3" s="338">
        <v>1.5E-3</v>
      </c>
      <c r="E3" s="338">
        <v>1.5E-3</v>
      </c>
      <c r="F3" s="338">
        <v>1.5E-3</v>
      </c>
      <c r="G3" s="338">
        <v>1.5E-3</v>
      </c>
      <c r="H3" s="370">
        <v>1.5E-3</v>
      </c>
      <c r="I3" s="338" t="str">
        <f>+A3</f>
        <v>ADL</v>
      </c>
      <c r="J3" s="338"/>
      <c r="K3" s="343">
        <v>5.5500000000000001E-2</v>
      </c>
      <c r="L3" s="342" t="s">
        <v>289</v>
      </c>
      <c r="M3" s="342"/>
      <c r="N3" s="342" t="s">
        <v>289</v>
      </c>
      <c r="O3" s="342" t="s">
        <v>289</v>
      </c>
      <c r="P3" s="342" t="s">
        <v>289</v>
      </c>
      <c r="Q3" s="342" t="s">
        <v>289</v>
      </c>
      <c r="R3" s="342" t="s">
        <v>289</v>
      </c>
      <c r="S3" s="342" t="s">
        <v>289</v>
      </c>
      <c r="T3" s="346"/>
      <c r="V3" s="125" t="s">
        <v>33</v>
      </c>
      <c r="W3" s="126" t="s">
        <v>289</v>
      </c>
      <c r="X3" s="126" t="s">
        <v>289</v>
      </c>
      <c r="Z3" s="127" t="s">
        <v>376</v>
      </c>
      <c r="AB3" s="127" t="s">
        <v>430</v>
      </c>
      <c r="AD3" s="8" t="s">
        <v>550</v>
      </c>
      <c r="AH3" s="735" t="s">
        <v>706</v>
      </c>
    </row>
    <row r="4" spans="1:34" x14ac:dyDescent="0.25">
      <c r="A4" s="8" t="s">
        <v>331</v>
      </c>
      <c r="B4" s="8" t="s">
        <v>334</v>
      </c>
      <c r="C4" s="338">
        <v>6.0000000000000001E-3</v>
      </c>
      <c r="D4" s="338">
        <v>1.5E-3</v>
      </c>
      <c r="E4" s="338">
        <v>1.5E-3</v>
      </c>
      <c r="F4" s="338">
        <v>1.5E-3</v>
      </c>
      <c r="G4" s="338">
        <v>1.5E-3</v>
      </c>
      <c r="H4" s="370">
        <v>1.5E-3</v>
      </c>
      <c r="I4" s="338" t="str">
        <f t="shared" ref="I4:I63" si="0">+A4</f>
        <v>AFM</v>
      </c>
      <c r="J4" s="338"/>
      <c r="K4" s="342" t="s">
        <v>289</v>
      </c>
      <c r="L4" s="342" t="s">
        <v>289</v>
      </c>
      <c r="M4" s="342"/>
      <c r="N4" s="342" t="s">
        <v>289</v>
      </c>
      <c r="O4" s="342" t="s">
        <v>289</v>
      </c>
      <c r="P4" s="342" t="s">
        <v>289</v>
      </c>
      <c r="Q4" s="342" t="s">
        <v>289</v>
      </c>
      <c r="R4" s="342" t="s">
        <v>289</v>
      </c>
      <c r="S4" s="342" t="s">
        <v>289</v>
      </c>
      <c r="T4" s="346"/>
      <c r="V4" s="125" t="s">
        <v>39</v>
      </c>
      <c r="W4" s="126">
        <v>262</v>
      </c>
      <c r="X4" s="126">
        <v>135</v>
      </c>
      <c r="Z4" s="127" t="s">
        <v>374</v>
      </c>
      <c r="AB4" s="8" t="s">
        <v>431</v>
      </c>
      <c r="AD4" s="8" t="s">
        <v>551</v>
      </c>
      <c r="AF4" s="8" t="s">
        <v>358</v>
      </c>
      <c r="AH4" s="8" t="s">
        <v>109</v>
      </c>
    </row>
    <row r="5" spans="1:34" x14ac:dyDescent="0.25">
      <c r="A5" s="8" t="s">
        <v>283</v>
      </c>
      <c r="B5" s="8" t="s">
        <v>316</v>
      </c>
      <c r="C5" s="338">
        <v>6.0000000000000001E-3</v>
      </c>
      <c r="D5" s="338">
        <v>1.5E-3</v>
      </c>
      <c r="E5" s="338">
        <v>1.5E-3</v>
      </c>
      <c r="F5" s="338">
        <v>1.5E-3</v>
      </c>
      <c r="G5" s="338">
        <v>1.5E-3</v>
      </c>
      <c r="H5" s="370">
        <v>1.5E-3</v>
      </c>
      <c r="I5" s="338" t="str">
        <f t="shared" si="0"/>
        <v>AMP</v>
      </c>
      <c r="J5" s="338"/>
      <c r="K5" s="343">
        <v>5.7500000000000002E-2</v>
      </c>
      <c r="L5" s="343">
        <v>4.7E-2</v>
      </c>
      <c r="M5" s="342"/>
      <c r="N5" s="342" t="s">
        <v>289</v>
      </c>
      <c r="O5" s="342" t="s">
        <v>289</v>
      </c>
      <c r="P5" s="342" t="s">
        <v>289</v>
      </c>
      <c r="Q5" s="342" t="s">
        <v>289</v>
      </c>
      <c r="R5" s="342" t="s">
        <v>289</v>
      </c>
      <c r="S5" s="342" t="s">
        <v>289</v>
      </c>
      <c r="T5" s="346"/>
      <c r="V5" s="125" t="s">
        <v>34</v>
      </c>
      <c r="W5" s="126">
        <f>+X5*2</f>
        <v>272</v>
      </c>
      <c r="X5" s="126">
        <v>136</v>
      </c>
      <c r="Z5" s="8" t="s">
        <v>375</v>
      </c>
      <c r="AB5" s="127" t="s">
        <v>432</v>
      </c>
      <c r="AF5" s="8" t="s">
        <v>357</v>
      </c>
      <c r="AH5" s="8" t="s">
        <v>697</v>
      </c>
    </row>
    <row r="6" spans="1:34" x14ac:dyDescent="0.25">
      <c r="A6" s="8" t="s">
        <v>317</v>
      </c>
      <c r="B6" s="8" t="s">
        <v>318</v>
      </c>
      <c r="C6" s="341" t="s">
        <v>289</v>
      </c>
      <c r="D6" s="341" t="s">
        <v>289</v>
      </c>
      <c r="E6" s="341" t="s">
        <v>289</v>
      </c>
      <c r="F6" s="341" t="s">
        <v>289</v>
      </c>
      <c r="G6" s="341" t="s">
        <v>289</v>
      </c>
      <c r="H6" s="371" t="s">
        <v>289</v>
      </c>
      <c r="I6" s="338" t="str">
        <f t="shared" si="0"/>
        <v>AMX</v>
      </c>
      <c r="J6" s="338"/>
      <c r="K6" s="342" t="s">
        <v>289</v>
      </c>
      <c r="L6" s="342" t="s">
        <v>289</v>
      </c>
      <c r="M6" s="342"/>
      <c r="N6" s="342" t="s">
        <v>289</v>
      </c>
      <c r="O6" s="342" t="s">
        <v>289</v>
      </c>
      <c r="P6" s="342" t="s">
        <v>289</v>
      </c>
      <c r="Q6" s="342" t="s">
        <v>289</v>
      </c>
      <c r="R6" s="342" t="s">
        <v>289</v>
      </c>
      <c r="S6" s="342" t="s">
        <v>289</v>
      </c>
      <c r="T6" s="347"/>
      <c r="V6" s="125" t="s">
        <v>41</v>
      </c>
      <c r="W6" s="126" t="s">
        <v>618</v>
      </c>
      <c r="X6" s="126">
        <v>175</v>
      </c>
      <c r="Z6" s="127" t="s">
        <v>371</v>
      </c>
      <c r="AB6" s="127" t="s">
        <v>433</v>
      </c>
      <c r="AF6" s="8" t="s">
        <v>355</v>
      </c>
      <c r="AH6" s="127" t="s">
        <v>698</v>
      </c>
    </row>
    <row r="7" spans="1:34" x14ac:dyDescent="0.25">
      <c r="A7" s="8" t="s">
        <v>307</v>
      </c>
      <c r="B7" s="8" t="s">
        <v>309</v>
      </c>
      <c r="C7" s="338">
        <v>6.0000000000000001E-3</v>
      </c>
      <c r="D7" s="338">
        <v>1.5E-3</v>
      </c>
      <c r="E7" s="338">
        <v>1.5E-3</v>
      </c>
      <c r="F7" s="338">
        <v>1.5E-3</v>
      </c>
      <c r="G7" s="338">
        <v>1.5E-3</v>
      </c>
      <c r="H7" s="370">
        <v>1.5E-3</v>
      </c>
      <c r="I7" s="338" t="str">
        <f t="shared" si="0"/>
        <v>ANZ</v>
      </c>
      <c r="J7" s="338"/>
      <c r="K7" s="343">
        <v>5.5599999999999997E-2</v>
      </c>
      <c r="L7" s="343">
        <v>4.6800000000000001E-2</v>
      </c>
      <c r="M7" s="343">
        <f>+K7</f>
        <v>5.5599999999999997E-2</v>
      </c>
      <c r="N7" s="342" t="s">
        <v>289</v>
      </c>
      <c r="O7" s="343">
        <v>4.7899999999999998E-2</v>
      </c>
      <c r="P7" s="343">
        <v>4.8899999999999999E-2</v>
      </c>
      <c r="Q7" s="343">
        <v>5.1900000000000002E-2</v>
      </c>
      <c r="R7" s="343">
        <v>5.6399999999999999E-2</v>
      </c>
      <c r="S7" s="343">
        <v>5.79E-2</v>
      </c>
      <c r="T7" s="348">
        <v>41665</v>
      </c>
      <c r="U7" s="477"/>
      <c r="V7" s="125" t="s">
        <v>43</v>
      </c>
      <c r="W7" s="126" t="s">
        <v>618</v>
      </c>
      <c r="X7" s="126">
        <v>157</v>
      </c>
      <c r="Z7" s="127" t="s">
        <v>372</v>
      </c>
      <c r="AF7" s="127" t="s">
        <v>356</v>
      </c>
      <c r="AH7" s="127" t="s">
        <v>699</v>
      </c>
    </row>
    <row r="8" spans="1:34" x14ac:dyDescent="0.25">
      <c r="A8" s="8" t="s">
        <v>1097</v>
      </c>
      <c r="B8" s="8" t="s">
        <v>1098</v>
      </c>
      <c r="C8" s="338"/>
      <c r="D8" s="338"/>
      <c r="E8" s="338"/>
      <c r="F8" s="338"/>
      <c r="G8" s="338"/>
      <c r="H8" s="370"/>
      <c r="I8" s="338" t="str">
        <f>+A8</f>
        <v>ARB</v>
      </c>
      <c r="J8" s="338"/>
      <c r="K8" s="343"/>
      <c r="L8" s="343"/>
      <c r="M8" s="343"/>
      <c r="N8" s="342"/>
      <c r="O8" s="343"/>
      <c r="P8" s="343"/>
      <c r="Q8" s="343"/>
      <c r="R8" s="343"/>
      <c r="S8" s="343"/>
      <c r="T8" s="348"/>
      <c r="U8" s="477"/>
      <c r="V8" s="125" t="s">
        <v>44</v>
      </c>
      <c r="W8" s="126">
        <v>200</v>
      </c>
      <c r="X8" s="126">
        <v>131</v>
      </c>
      <c r="Z8" s="127" t="s">
        <v>373</v>
      </c>
      <c r="AF8" s="127" t="s">
        <v>359</v>
      </c>
      <c r="AH8" s="127" t="s">
        <v>700</v>
      </c>
    </row>
    <row r="9" spans="1:34" x14ac:dyDescent="0.25">
      <c r="A9" s="8" t="s">
        <v>969</v>
      </c>
      <c r="B9" s="8" t="s">
        <v>970</v>
      </c>
      <c r="C9" s="338"/>
      <c r="D9" s="338"/>
      <c r="E9" s="338"/>
      <c r="F9" s="338"/>
      <c r="G9" s="338"/>
      <c r="H9" s="370"/>
      <c r="I9" s="338" t="str">
        <f t="shared" si="0"/>
        <v>AUS</v>
      </c>
      <c r="J9" s="338"/>
      <c r="K9" s="343"/>
      <c r="L9" s="343"/>
      <c r="M9" s="343"/>
      <c r="N9" s="342"/>
      <c r="O9" s="343"/>
      <c r="P9" s="343"/>
      <c r="Q9" s="343"/>
      <c r="R9" s="343"/>
      <c r="S9" s="343"/>
      <c r="T9" s="348"/>
      <c r="U9" s="477"/>
      <c r="V9" s="125" t="s">
        <v>45</v>
      </c>
      <c r="W9" s="126" t="s">
        <v>618</v>
      </c>
      <c r="X9" s="126">
        <v>112.6</v>
      </c>
      <c r="Z9" s="127" t="s">
        <v>370</v>
      </c>
      <c r="AH9" s="127" t="s">
        <v>30</v>
      </c>
    </row>
    <row r="10" spans="1:34" x14ac:dyDescent="0.25">
      <c r="A10" s="8" t="s">
        <v>1095</v>
      </c>
      <c r="B10" s="8" t="s">
        <v>1096</v>
      </c>
      <c r="C10" s="338"/>
      <c r="D10" s="338"/>
      <c r="E10" s="338"/>
      <c r="F10" s="338"/>
      <c r="G10" s="338"/>
      <c r="H10" s="370"/>
      <c r="I10" s="338" t="str">
        <f t="shared" si="0"/>
        <v>AWB</v>
      </c>
      <c r="J10" s="338"/>
      <c r="K10" s="343"/>
      <c r="L10" s="343"/>
      <c r="M10" s="343"/>
      <c r="N10" s="342"/>
      <c r="O10" s="343"/>
      <c r="P10" s="343"/>
      <c r="Q10" s="343"/>
      <c r="R10" s="343"/>
      <c r="S10" s="343"/>
      <c r="T10" s="348"/>
      <c r="U10" s="477"/>
      <c r="V10" s="125" t="s">
        <v>47</v>
      </c>
      <c r="W10" s="126" t="s">
        <v>618</v>
      </c>
      <c r="X10" s="126">
        <v>165.8</v>
      </c>
      <c r="AH10" s="127" t="s">
        <v>237</v>
      </c>
    </row>
    <row r="11" spans="1:34" x14ac:dyDescent="0.25">
      <c r="A11" s="8" t="s">
        <v>332</v>
      </c>
      <c r="B11" s="8" t="s">
        <v>333</v>
      </c>
      <c r="C11" s="338">
        <v>6.0000000000000001E-3</v>
      </c>
      <c r="D11" s="338">
        <v>1.5E-3</v>
      </c>
      <c r="E11" s="338">
        <v>1.5E-3</v>
      </c>
      <c r="F11" s="338">
        <v>1.5E-3</v>
      </c>
      <c r="G11" s="338">
        <v>1.5E-3</v>
      </c>
      <c r="H11" s="370">
        <v>1.5E-3</v>
      </c>
      <c r="I11" s="338" t="str">
        <f t="shared" si="0"/>
        <v>BAR</v>
      </c>
      <c r="J11" s="338"/>
      <c r="K11" s="342" t="s">
        <v>289</v>
      </c>
      <c r="L11" s="342" t="s">
        <v>289</v>
      </c>
      <c r="M11" s="342"/>
      <c r="N11" s="342" t="s">
        <v>289</v>
      </c>
      <c r="O11" s="342" t="s">
        <v>289</v>
      </c>
      <c r="P11" s="342" t="s">
        <v>289</v>
      </c>
      <c r="Q11" s="342" t="s">
        <v>289</v>
      </c>
      <c r="R11" s="342" t="s">
        <v>289</v>
      </c>
      <c r="S11" s="342" t="s">
        <v>289</v>
      </c>
      <c r="T11" s="346"/>
      <c r="U11" s="477"/>
      <c r="V11" s="125" t="s">
        <v>48</v>
      </c>
      <c r="W11" s="126">
        <v>142</v>
      </c>
      <c r="X11" s="126">
        <v>142</v>
      </c>
      <c r="AH11" s="127" t="s">
        <v>19</v>
      </c>
    </row>
    <row r="12" spans="1:34" x14ac:dyDescent="0.25">
      <c r="A12" s="8" t="s">
        <v>1101</v>
      </c>
      <c r="B12" s="8" t="s">
        <v>1102</v>
      </c>
      <c r="C12" s="338"/>
      <c r="D12" s="338"/>
      <c r="E12" s="338"/>
      <c r="F12" s="338"/>
      <c r="G12" s="338"/>
      <c r="H12" s="370"/>
      <c r="I12" s="338" t="str">
        <f t="shared" si="0"/>
        <v>BAU</v>
      </c>
      <c r="J12" s="338"/>
      <c r="K12" s="342"/>
      <c r="L12" s="342"/>
      <c r="M12" s="342"/>
      <c r="N12" s="342"/>
      <c r="O12" s="342"/>
      <c r="P12" s="342"/>
      <c r="Q12" s="342"/>
      <c r="R12" s="342"/>
      <c r="S12" s="342"/>
      <c r="T12" s="346"/>
      <c r="U12" s="477"/>
      <c r="V12" s="125" t="s">
        <v>111</v>
      </c>
      <c r="W12" s="126" t="s">
        <v>223</v>
      </c>
      <c r="X12" s="126" t="s">
        <v>223</v>
      </c>
    </row>
    <row r="13" spans="1:34" x14ac:dyDescent="0.25">
      <c r="A13" s="8" t="s">
        <v>973</v>
      </c>
      <c r="B13" s="8" t="s">
        <v>974</v>
      </c>
      <c r="C13" s="338"/>
      <c r="D13" s="338"/>
      <c r="E13" s="338"/>
      <c r="F13" s="338"/>
      <c r="G13" s="338"/>
      <c r="H13" s="370"/>
      <c r="I13" s="338" t="str">
        <f t="shared" si="0"/>
        <v>BEN</v>
      </c>
      <c r="J13" s="338"/>
      <c r="K13" s="342"/>
      <c r="L13" s="342"/>
      <c r="M13" s="342"/>
      <c r="N13" s="342"/>
      <c r="O13" s="342"/>
      <c r="P13" s="342"/>
      <c r="Q13" s="342"/>
      <c r="R13" s="342"/>
      <c r="S13" s="342"/>
      <c r="T13" s="346"/>
      <c r="U13" s="477"/>
      <c r="Z13" s="124" t="s">
        <v>384</v>
      </c>
      <c r="AB13" s="124" t="s">
        <v>532</v>
      </c>
      <c r="AC13" s="124" t="s">
        <v>620</v>
      </c>
      <c r="AE13" s="2570" t="s">
        <v>416</v>
      </c>
      <c r="AF13" s="2571"/>
      <c r="AH13" s="124" t="s">
        <v>791</v>
      </c>
    </row>
    <row r="14" spans="1:34" x14ac:dyDescent="0.25">
      <c r="A14" s="8" t="s">
        <v>1099</v>
      </c>
      <c r="B14" s="8" t="s">
        <v>1100</v>
      </c>
      <c r="C14" s="338"/>
      <c r="D14" s="338"/>
      <c r="E14" s="338"/>
      <c r="F14" s="338"/>
      <c r="G14" s="338"/>
      <c r="H14" s="370"/>
      <c r="I14" s="338" t="str">
        <f t="shared" si="0"/>
        <v>BEY</v>
      </c>
      <c r="J14" s="338"/>
      <c r="K14" s="342"/>
      <c r="L14" s="342"/>
      <c r="M14" s="342"/>
      <c r="N14" s="342"/>
      <c r="O14" s="342"/>
      <c r="P14" s="342"/>
      <c r="Q14" s="342"/>
      <c r="R14" s="342"/>
      <c r="S14" s="342"/>
      <c r="T14" s="346"/>
      <c r="U14" s="477"/>
      <c r="V14" s="2570" t="s">
        <v>364</v>
      </c>
      <c r="W14" s="2575"/>
      <c r="X14" s="2571"/>
      <c r="Z14" s="8" t="s">
        <v>381</v>
      </c>
      <c r="AB14" s="8" t="s">
        <v>531</v>
      </c>
      <c r="AC14" s="8" t="s">
        <v>32</v>
      </c>
      <c r="AE14" s="197" t="s">
        <v>267</v>
      </c>
      <c r="AF14" s="196" t="s">
        <v>178</v>
      </c>
      <c r="AG14" s="53"/>
      <c r="AH14" s="53" t="s">
        <v>787</v>
      </c>
    </row>
    <row r="15" spans="1:34" x14ac:dyDescent="0.25">
      <c r="A15" s="8" t="s">
        <v>955</v>
      </c>
      <c r="B15" s="8" t="s">
        <v>956</v>
      </c>
      <c r="C15" s="338"/>
      <c r="D15" s="338"/>
      <c r="E15" s="338"/>
      <c r="F15" s="338"/>
      <c r="G15" s="338"/>
      <c r="H15" s="370"/>
      <c r="I15" s="338" t="str">
        <f t="shared" si="0"/>
        <v>BOC</v>
      </c>
      <c r="J15" s="338"/>
      <c r="K15" s="342"/>
      <c r="L15" s="342"/>
      <c r="M15" s="342"/>
      <c r="N15" s="342"/>
      <c r="O15" s="342"/>
      <c r="P15" s="342"/>
      <c r="Q15" s="342"/>
      <c r="R15" s="342"/>
      <c r="S15" s="342"/>
      <c r="T15" s="346"/>
      <c r="U15" s="477"/>
      <c r="V15" s="127" t="s">
        <v>363</v>
      </c>
      <c r="W15" s="127" t="s">
        <v>389</v>
      </c>
      <c r="X15" s="127" t="s">
        <v>608</v>
      </c>
      <c r="Z15" s="8" t="s">
        <v>382</v>
      </c>
      <c r="AB15" s="8" t="s">
        <v>428</v>
      </c>
      <c r="AC15" s="8" t="s">
        <v>619</v>
      </c>
      <c r="AE15" s="197" t="s">
        <v>417</v>
      </c>
      <c r="AF15" s="193">
        <v>392625</v>
      </c>
      <c r="AG15" s="53"/>
      <c r="AH15" s="53" t="s">
        <v>789</v>
      </c>
    </row>
    <row r="16" spans="1:34" x14ac:dyDescent="0.25">
      <c r="A16" s="8" t="s">
        <v>971</v>
      </c>
      <c r="B16" s="8" t="s">
        <v>972</v>
      </c>
      <c r="C16" s="338"/>
      <c r="D16" s="338"/>
      <c r="E16" s="338"/>
      <c r="F16" s="338"/>
      <c r="G16" s="338"/>
      <c r="H16" s="370"/>
      <c r="I16" s="338" t="str">
        <f t="shared" si="0"/>
        <v>BOQ</v>
      </c>
      <c r="J16" s="338"/>
      <c r="K16" s="342"/>
      <c r="L16" s="342"/>
      <c r="M16" s="342"/>
      <c r="N16" s="342"/>
      <c r="O16" s="342"/>
      <c r="P16" s="342"/>
      <c r="Q16" s="342"/>
      <c r="R16" s="342"/>
      <c r="S16" s="342"/>
      <c r="T16" s="346"/>
      <c r="U16" s="477"/>
      <c r="V16" s="127" t="s">
        <v>365</v>
      </c>
      <c r="W16" s="127" t="s">
        <v>440</v>
      </c>
      <c r="X16" s="8" t="s">
        <v>621</v>
      </c>
      <c r="Z16" s="8" t="s">
        <v>383</v>
      </c>
      <c r="AE16" s="197" t="s">
        <v>196</v>
      </c>
      <c r="AF16" s="194" t="s">
        <v>268</v>
      </c>
      <c r="AG16" s="53"/>
      <c r="AH16" s="53" t="s">
        <v>790</v>
      </c>
    </row>
    <row r="17" spans="1:45" x14ac:dyDescent="0.25">
      <c r="A17" s="8" t="s">
        <v>957</v>
      </c>
      <c r="B17" s="8" t="s">
        <v>958</v>
      </c>
      <c r="C17" s="338"/>
      <c r="D17" s="338"/>
      <c r="E17" s="338"/>
      <c r="F17" s="338"/>
      <c r="G17" s="338"/>
      <c r="H17" s="370"/>
      <c r="I17" s="338" t="str">
        <f t="shared" si="0"/>
        <v>BOS</v>
      </c>
      <c r="J17" s="338"/>
      <c r="K17" s="342"/>
      <c r="L17" s="342"/>
      <c r="M17" s="342"/>
      <c r="N17" s="342"/>
      <c r="O17" s="342"/>
      <c r="P17" s="342"/>
      <c r="Q17" s="342"/>
      <c r="R17" s="342"/>
      <c r="S17" s="342"/>
      <c r="T17" s="346"/>
      <c r="U17" s="477"/>
      <c r="V17" s="127" t="s">
        <v>439</v>
      </c>
      <c r="W17" s="127" t="s">
        <v>73</v>
      </c>
      <c r="X17" s="127" t="s">
        <v>390</v>
      </c>
      <c r="AE17" s="197" t="s">
        <v>418</v>
      </c>
      <c r="AF17" s="8" t="s">
        <v>419</v>
      </c>
      <c r="AG17" s="53"/>
      <c r="AH17" s="53" t="s">
        <v>792</v>
      </c>
    </row>
    <row r="18" spans="1:45" x14ac:dyDescent="0.25">
      <c r="A18" s="8" t="s">
        <v>1093</v>
      </c>
      <c r="B18" s="8" t="s">
        <v>1094</v>
      </c>
      <c r="C18" s="338"/>
      <c r="D18" s="338"/>
      <c r="E18" s="338"/>
      <c r="F18" s="338"/>
      <c r="G18" s="338"/>
      <c r="H18" s="370"/>
      <c r="I18" s="338" t="str">
        <f t="shared" si="0"/>
        <v>BCU</v>
      </c>
      <c r="J18" s="338"/>
      <c r="K18" s="342"/>
      <c r="L18" s="342"/>
      <c r="M18" s="342"/>
      <c r="N18" s="342"/>
      <c r="O18" s="342"/>
      <c r="P18" s="342"/>
      <c r="Q18" s="342"/>
      <c r="R18" s="342"/>
      <c r="S18" s="342"/>
      <c r="T18" s="346"/>
      <c r="U18" s="477"/>
      <c r="X18" s="127" t="s">
        <v>73</v>
      </c>
      <c r="Z18" s="124" t="s">
        <v>490</v>
      </c>
      <c r="AB18" s="124" t="s">
        <v>99</v>
      </c>
      <c r="AC18" s="124" t="s">
        <v>570</v>
      </c>
      <c r="AE18" s="197" t="s">
        <v>3</v>
      </c>
      <c r="AF18" s="195" t="s">
        <v>110</v>
      </c>
      <c r="AG18" s="194"/>
      <c r="AH18" s="53" t="s">
        <v>799</v>
      </c>
    </row>
    <row r="19" spans="1:45" x14ac:dyDescent="0.25">
      <c r="A19" s="8" t="s">
        <v>959</v>
      </c>
      <c r="B19" s="8" t="s">
        <v>960</v>
      </c>
      <c r="C19" s="338"/>
      <c r="D19" s="338"/>
      <c r="E19" s="338"/>
      <c r="F19" s="338"/>
      <c r="G19" s="338"/>
      <c r="H19" s="370"/>
      <c r="I19" s="338" t="str">
        <f t="shared" si="0"/>
        <v>BMW</v>
      </c>
      <c r="J19" s="338"/>
      <c r="K19" s="342"/>
      <c r="L19" s="342"/>
      <c r="M19" s="342"/>
      <c r="N19" s="342"/>
      <c r="O19" s="342"/>
      <c r="P19" s="342"/>
      <c r="Q19" s="342"/>
      <c r="R19" s="342"/>
      <c r="S19" s="342"/>
      <c r="T19" s="346"/>
      <c r="U19" s="477"/>
      <c r="V19" s="2572" t="s">
        <v>1132</v>
      </c>
      <c r="W19" s="2573"/>
      <c r="X19" s="2574"/>
      <c r="Z19" s="127" t="s">
        <v>105</v>
      </c>
      <c r="AB19" s="8" t="s">
        <v>98</v>
      </c>
      <c r="AC19" s="8" t="s">
        <v>559</v>
      </c>
      <c r="AE19" s="197" t="s">
        <v>193</v>
      </c>
      <c r="AF19" s="194" t="s">
        <v>269</v>
      </c>
      <c r="AG19" s="194"/>
      <c r="AH19" s="53" t="s">
        <v>793</v>
      </c>
    </row>
    <row r="20" spans="1:45" x14ac:dyDescent="0.25">
      <c r="A20" s="8" t="s">
        <v>308</v>
      </c>
      <c r="B20" s="8" t="s">
        <v>311</v>
      </c>
      <c r="C20" s="338">
        <v>6.0000000000000001E-3</v>
      </c>
      <c r="D20" s="338">
        <v>1.5E-3</v>
      </c>
      <c r="E20" s="338">
        <v>1.5E-3</v>
      </c>
      <c r="F20" s="338">
        <v>1.5E-3</v>
      </c>
      <c r="G20" s="338">
        <v>1.5E-3</v>
      </c>
      <c r="H20" s="370">
        <v>1.5E-3</v>
      </c>
      <c r="I20" s="338" t="str">
        <f t="shared" si="0"/>
        <v>BWT</v>
      </c>
      <c r="J20" s="338"/>
      <c r="K20" s="343">
        <v>5.6500000000000002E-2</v>
      </c>
      <c r="L20" s="343">
        <v>4.9700000000000001E-2</v>
      </c>
      <c r="M20" s="342"/>
      <c r="N20" s="342" t="s">
        <v>289</v>
      </c>
      <c r="O20" s="342" t="s">
        <v>289</v>
      </c>
      <c r="P20" s="342" t="s">
        <v>289</v>
      </c>
      <c r="Q20" s="342" t="s">
        <v>289</v>
      </c>
      <c r="R20" s="342" t="s">
        <v>289</v>
      </c>
      <c r="S20" s="342" t="s">
        <v>289</v>
      </c>
      <c r="T20" s="346"/>
      <c r="U20" s="477"/>
      <c r="V20" s="158" t="s">
        <v>240</v>
      </c>
      <c r="W20" s="158" t="s">
        <v>29</v>
      </c>
      <c r="X20" s="158" t="s">
        <v>241</v>
      </c>
      <c r="Z20" s="127" t="s">
        <v>112</v>
      </c>
      <c r="AB20" s="8" t="s">
        <v>94</v>
      </c>
      <c r="AC20" s="8" t="s">
        <v>560</v>
      </c>
      <c r="AG20" s="194"/>
      <c r="AH20" s="73" t="s">
        <v>1130</v>
      </c>
      <c r="AI20" s="53"/>
      <c r="AJ20" s="53"/>
      <c r="AK20" s="53"/>
      <c r="AL20" s="53"/>
      <c r="AM20" s="53"/>
      <c r="AN20" s="53"/>
      <c r="AO20" s="53"/>
      <c r="AP20" s="53"/>
      <c r="AQ20" s="53"/>
      <c r="AR20" s="53"/>
      <c r="AS20" s="53"/>
    </row>
    <row r="21" spans="1:45" x14ac:dyDescent="0.25">
      <c r="A21" s="8" t="s">
        <v>329</v>
      </c>
      <c r="B21" s="8" t="s">
        <v>330</v>
      </c>
      <c r="C21" s="341" t="s">
        <v>289</v>
      </c>
      <c r="D21" s="341" t="s">
        <v>289</v>
      </c>
      <c r="E21" s="341" t="s">
        <v>289</v>
      </c>
      <c r="F21" s="341" t="s">
        <v>289</v>
      </c>
      <c r="G21" s="341" t="s">
        <v>289</v>
      </c>
      <c r="H21" s="371" t="s">
        <v>289</v>
      </c>
      <c r="I21" s="338" t="str">
        <f t="shared" si="0"/>
        <v>CAP</v>
      </c>
      <c r="J21" s="338"/>
      <c r="K21" s="342" t="s">
        <v>289</v>
      </c>
      <c r="L21" s="342" t="s">
        <v>289</v>
      </c>
      <c r="M21" s="342"/>
      <c r="N21" s="342" t="s">
        <v>289</v>
      </c>
      <c r="O21" s="342" t="s">
        <v>289</v>
      </c>
      <c r="P21" s="342" t="s">
        <v>289</v>
      </c>
      <c r="Q21" s="342" t="s">
        <v>289</v>
      </c>
      <c r="R21" s="342" t="s">
        <v>289</v>
      </c>
      <c r="S21" s="342" t="s">
        <v>289</v>
      </c>
      <c r="T21" s="347"/>
      <c r="U21" s="477"/>
      <c r="V21" s="159">
        <v>0</v>
      </c>
      <c r="W21" s="1053">
        <v>0</v>
      </c>
      <c r="X21" s="160">
        <v>0</v>
      </c>
      <c r="Z21" s="127" t="s">
        <v>115</v>
      </c>
      <c r="AB21" s="8" t="s">
        <v>2</v>
      </c>
      <c r="AC21" s="8" t="s">
        <v>561</v>
      </c>
      <c r="AG21" s="194"/>
      <c r="AH21" s="73" t="s">
        <v>1131</v>
      </c>
      <c r="AI21" s="53"/>
      <c r="AJ21" s="53"/>
      <c r="AK21" s="53"/>
      <c r="AL21" s="53"/>
      <c r="AM21" s="53"/>
      <c r="AN21" s="53"/>
      <c r="AO21" s="53"/>
      <c r="AP21" s="53"/>
      <c r="AQ21" s="53"/>
      <c r="AR21" s="53"/>
      <c r="AS21" s="53"/>
    </row>
    <row r="22" spans="1:45" x14ac:dyDescent="0.25">
      <c r="A22" s="8" t="s">
        <v>306</v>
      </c>
      <c r="B22" s="8" t="s">
        <v>310</v>
      </c>
      <c r="C22" s="338">
        <v>6.4999999999999997E-3</v>
      </c>
      <c r="D22" s="338">
        <v>1.5E-3</v>
      </c>
      <c r="E22" s="338">
        <v>2E-3</v>
      </c>
      <c r="F22" s="338">
        <v>2E-3</v>
      </c>
      <c r="G22" s="338">
        <v>2E-3</v>
      </c>
      <c r="H22" s="370">
        <v>2E-3</v>
      </c>
      <c r="I22" s="338" t="str">
        <f t="shared" si="0"/>
        <v>CBA</v>
      </c>
      <c r="J22" s="338">
        <v>7.2499999999999995E-2</v>
      </c>
      <c r="K22" s="343">
        <v>5.6000000000000001E-2</v>
      </c>
      <c r="L22" s="343">
        <v>4.99E-2</v>
      </c>
      <c r="M22" s="343">
        <f>+K22+0.15%</f>
        <v>5.7500000000000002E-2</v>
      </c>
      <c r="N22" s="342" t="s">
        <v>289</v>
      </c>
      <c r="O22" s="343">
        <v>4.7899999999999998E-2</v>
      </c>
      <c r="P22" s="343">
        <v>4.8899999999999999E-2</v>
      </c>
      <c r="Q22" s="343">
        <v>5.1400000000000001E-2</v>
      </c>
      <c r="R22" s="343">
        <v>5.5899999999999998E-2</v>
      </c>
      <c r="S22" s="343">
        <v>5.6899999999999999E-2</v>
      </c>
      <c r="T22" s="348">
        <v>41665</v>
      </c>
      <c r="U22" s="477"/>
      <c r="V22" s="159">
        <v>18201</v>
      </c>
      <c r="W22" s="1053">
        <v>0.19</v>
      </c>
      <c r="X22" s="160">
        <v>0</v>
      </c>
      <c r="Z22" s="8" t="s">
        <v>116</v>
      </c>
      <c r="AB22" s="8" t="s">
        <v>95</v>
      </c>
      <c r="AC22" s="8" t="s">
        <v>571</v>
      </c>
      <c r="AG22" s="194"/>
      <c r="AH22" s="53" t="s">
        <v>797</v>
      </c>
      <c r="AI22" s="53"/>
      <c r="AJ22" s="53"/>
      <c r="AK22" s="53"/>
      <c r="AL22" s="53"/>
      <c r="AM22" s="53"/>
      <c r="AN22" s="53"/>
      <c r="AO22" s="53"/>
      <c r="AP22" s="53"/>
      <c r="AQ22" s="53"/>
      <c r="AR22" s="53"/>
      <c r="AS22" s="53"/>
    </row>
    <row r="23" spans="1:45" x14ac:dyDescent="0.25">
      <c r="A23" s="8" t="s">
        <v>337</v>
      </c>
      <c r="B23" s="8" t="s">
        <v>338</v>
      </c>
      <c r="C23" s="338">
        <v>6.0000000000000001E-3</v>
      </c>
      <c r="D23" s="338">
        <v>1.5E-3</v>
      </c>
      <c r="E23" s="338">
        <v>1.5E-3</v>
      </c>
      <c r="F23" s="338">
        <v>1.5E-3</v>
      </c>
      <c r="G23" s="338">
        <v>1.5E-3</v>
      </c>
      <c r="H23" s="370">
        <v>1.5E-3</v>
      </c>
      <c r="I23" s="338" t="str">
        <f t="shared" si="0"/>
        <v>CIT</v>
      </c>
      <c r="J23" s="338"/>
      <c r="K23" s="343">
        <v>5.9400000000000001E-2</v>
      </c>
      <c r="L23" s="343">
        <v>4.7699999999999999E-2</v>
      </c>
      <c r="M23" s="343">
        <f>+K23+0.37%</f>
        <v>6.3100000000000003E-2</v>
      </c>
      <c r="N23" s="342" t="s">
        <v>289</v>
      </c>
      <c r="O23" s="343">
        <v>4.99E-2</v>
      </c>
      <c r="P23" s="343">
        <v>4.99E-2</v>
      </c>
      <c r="Q23" s="343">
        <v>5.1799999999999999E-2</v>
      </c>
      <c r="R23" s="343">
        <v>5.79E-2</v>
      </c>
      <c r="S23" s="343">
        <v>5.9900000000000002E-2</v>
      </c>
      <c r="T23" s="348">
        <v>41665</v>
      </c>
      <c r="U23" s="477"/>
      <c r="V23" s="159">
        <v>37001</v>
      </c>
      <c r="W23" s="1053">
        <v>0.32500000000000001</v>
      </c>
      <c r="X23" s="160">
        <v>3572</v>
      </c>
      <c r="Z23" s="127" t="s">
        <v>113</v>
      </c>
      <c r="AB23" s="8" t="s">
        <v>96</v>
      </c>
      <c r="AC23" s="8" t="s">
        <v>562</v>
      </c>
      <c r="AH23" s="53" t="s">
        <v>798</v>
      </c>
      <c r="AI23" s="53"/>
      <c r="AJ23" s="53"/>
      <c r="AK23" s="53"/>
      <c r="AL23" s="53"/>
      <c r="AM23" s="53"/>
      <c r="AN23" s="53"/>
      <c r="AO23" s="53"/>
      <c r="AP23" s="53"/>
      <c r="AQ23" s="53"/>
      <c r="AR23" s="53"/>
      <c r="AS23" s="53"/>
    </row>
    <row r="24" spans="1:45" x14ac:dyDescent="0.25">
      <c r="A24" s="8" t="s">
        <v>347</v>
      </c>
      <c r="B24" s="8" t="s">
        <v>348</v>
      </c>
      <c r="C24" s="341" t="s">
        <v>289</v>
      </c>
      <c r="D24" s="341" t="s">
        <v>289</v>
      </c>
      <c r="E24" s="341" t="s">
        <v>289</v>
      </c>
      <c r="F24" s="341" t="s">
        <v>289</v>
      </c>
      <c r="G24" s="341" t="s">
        <v>289</v>
      </c>
      <c r="H24" s="371" t="s">
        <v>289</v>
      </c>
      <c r="I24" s="338" t="str">
        <f t="shared" si="0"/>
        <v>CUA</v>
      </c>
      <c r="J24" s="338"/>
      <c r="K24" s="342" t="s">
        <v>289</v>
      </c>
      <c r="L24" s="342" t="s">
        <v>289</v>
      </c>
      <c r="M24" s="342"/>
      <c r="N24" s="342" t="s">
        <v>289</v>
      </c>
      <c r="O24" s="342" t="s">
        <v>289</v>
      </c>
      <c r="P24" s="342" t="s">
        <v>289</v>
      </c>
      <c r="Q24" s="342" t="s">
        <v>289</v>
      </c>
      <c r="R24" s="342" t="s">
        <v>289</v>
      </c>
      <c r="S24" s="342" t="s">
        <v>289</v>
      </c>
      <c r="T24" s="347"/>
      <c r="U24" s="477"/>
      <c r="V24" s="159">
        <v>80001</v>
      </c>
      <c r="W24" s="1053">
        <v>0.37</v>
      </c>
      <c r="X24" s="160">
        <v>17547</v>
      </c>
      <c r="Z24" s="127" t="s">
        <v>114</v>
      </c>
      <c r="AB24" s="8" t="s">
        <v>97</v>
      </c>
      <c r="AC24" s="8" t="s">
        <v>563</v>
      </c>
      <c r="AH24" s="53" t="s">
        <v>795</v>
      </c>
      <c r="AI24" s="194"/>
      <c r="AJ24" s="194"/>
      <c r="AK24" s="194"/>
      <c r="AL24" s="194"/>
      <c r="AM24" s="194"/>
      <c r="AN24" s="194"/>
      <c r="AO24" s="194"/>
      <c r="AP24" s="194"/>
      <c r="AQ24" s="194"/>
      <c r="AR24" s="194"/>
      <c r="AS24" s="194"/>
    </row>
    <row r="25" spans="1:45" x14ac:dyDescent="0.25">
      <c r="A25" s="8" t="s">
        <v>327</v>
      </c>
      <c r="B25" s="8" t="s">
        <v>328</v>
      </c>
      <c r="C25" s="338">
        <v>6.0000000000000001E-3</v>
      </c>
      <c r="D25" s="338">
        <v>1.5E-3</v>
      </c>
      <c r="E25" s="338">
        <v>1.5E-3</v>
      </c>
      <c r="F25" s="338">
        <v>1.5E-3</v>
      </c>
      <c r="G25" s="338">
        <v>1.5E-3</v>
      </c>
      <c r="H25" s="370">
        <v>1.5E-3</v>
      </c>
      <c r="I25" s="338" t="str">
        <f t="shared" si="0"/>
        <v>ESA</v>
      </c>
      <c r="J25" s="338"/>
      <c r="K25" s="342" t="s">
        <v>289</v>
      </c>
      <c r="L25" s="342" t="s">
        <v>289</v>
      </c>
      <c r="M25" s="342"/>
      <c r="N25" s="342" t="s">
        <v>289</v>
      </c>
      <c r="O25" s="342" t="s">
        <v>289</v>
      </c>
      <c r="P25" s="342" t="s">
        <v>289</v>
      </c>
      <c r="Q25" s="342" t="s">
        <v>289</v>
      </c>
      <c r="R25" s="342" t="s">
        <v>289</v>
      </c>
      <c r="S25" s="342" t="s">
        <v>289</v>
      </c>
      <c r="T25" s="346"/>
      <c r="U25" s="477"/>
      <c r="V25" s="159">
        <v>180001</v>
      </c>
      <c r="W25" s="1053">
        <v>0.45</v>
      </c>
      <c r="X25" s="160">
        <v>54547</v>
      </c>
      <c r="Z25" s="127" t="s">
        <v>19</v>
      </c>
      <c r="AC25" s="8" t="s">
        <v>564</v>
      </c>
      <c r="AH25" s="73" t="s">
        <v>1376</v>
      </c>
      <c r="AI25" s="194"/>
      <c r="AJ25" s="194"/>
      <c r="AK25" s="194"/>
      <c r="AL25" s="194"/>
      <c r="AM25" s="194"/>
      <c r="AN25" s="194"/>
      <c r="AO25" s="194"/>
      <c r="AP25" s="194"/>
      <c r="AQ25" s="194"/>
      <c r="AR25" s="194"/>
      <c r="AS25" s="194"/>
    </row>
    <row r="26" spans="1:45" x14ac:dyDescent="0.25">
      <c r="A26" s="8" t="s">
        <v>983</v>
      </c>
      <c r="B26" s="8" t="s">
        <v>984</v>
      </c>
      <c r="C26" s="338"/>
      <c r="D26" s="338"/>
      <c r="E26" s="338"/>
      <c r="F26" s="338"/>
      <c r="G26" s="338"/>
      <c r="H26" s="370"/>
      <c r="I26" s="338" t="str">
        <f t="shared" si="0"/>
        <v>GEC</v>
      </c>
      <c r="J26" s="338"/>
      <c r="K26" s="342"/>
      <c r="L26" s="342"/>
      <c r="M26" s="342"/>
      <c r="N26" s="342"/>
      <c r="O26" s="342"/>
      <c r="P26" s="342"/>
      <c r="Q26" s="342"/>
      <c r="R26" s="342"/>
      <c r="S26" s="342"/>
      <c r="T26" s="346"/>
      <c r="U26" s="477"/>
      <c r="V26" s="161" t="s">
        <v>237</v>
      </c>
      <c r="W26" s="162">
        <v>1.4999999999999999E-2</v>
      </c>
      <c r="X26" s="161"/>
      <c r="AC26" s="8" t="s">
        <v>572</v>
      </c>
      <c r="AH26" s="53" t="s">
        <v>794</v>
      </c>
      <c r="AI26" s="194"/>
      <c r="AJ26" s="194"/>
      <c r="AK26" s="194"/>
      <c r="AL26" s="194"/>
      <c r="AM26" s="194"/>
      <c r="AN26" s="194"/>
      <c r="AO26" s="194"/>
      <c r="AP26" s="194"/>
      <c r="AQ26" s="194"/>
      <c r="AR26" s="194"/>
      <c r="AS26" s="194"/>
    </row>
    <row r="27" spans="1:45" x14ac:dyDescent="0.25">
      <c r="A27" s="8" t="s">
        <v>965</v>
      </c>
      <c r="B27" s="8" t="s">
        <v>966</v>
      </c>
      <c r="C27" s="338"/>
      <c r="D27" s="338"/>
      <c r="E27" s="338"/>
      <c r="F27" s="338"/>
      <c r="G27" s="338"/>
      <c r="H27" s="370"/>
      <c r="I27" s="338" t="str">
        <f t="shared" si="0"/>
        <v>GRE</v>
      </c>
      <c r="J27" s="338"/>
      <c r="K27" s="342"/>
      <c r="L27" s="342"/>
      <c r="M27" s="342"/>
      <c r="N27" s="342"/>
      <c r="O27" s="342"/>
      <c r="P27" s="342"/>
      <c r="Q27" s="342"/>
      <c r="R27" s="342"/>
      <c r="S27" s="342"/>
      <c r="T27" s="346"/>
      <c r="U27" s="477"/>
      <c r="AB27" s="124" t="s">
        <v>121</v>
      </c>
      <c r="AC27" s="124" t="s">
        <v>489</v>
      </c>
      <c r="AD27" s="124" t="s">
        <v>128</v>
      </c>
      <c r="AE27" s="124" t="s">
        <v>587</v>
      </c>
      <c r="AH27" s="53" t="s">
        <v>916</v>
      </c>
      <c r="AI27" s="194"/>
      <c r="AJ27" s="194"/>
      <c r="AK27" s="194"/>
      <c r="AL27" s="194"/>
      <c r="AM27" s="194"/>
      <c r="AN27" s="194"/>
      <c r="AO27" s="194"/>
      <c r="AP27" s="194"/>
      <c r="AQ27" s="194"/>
      <c r="AR27" s="194"/>
      <c r="AS27" s="194"/>
    </row>
    <row r="28" spans="1:45" x14ac:dyDescent="0.25">
      <c r="A28" s="8" t="s">
        <v>975</v>
      </c>
      <c r="B28" s="8" t="s">
        <v>976</v>
      </c>
      <c r="C28" s="338"/>
      <c r="D28" s="338"/>
      <c r="E28" s="338"/>
      <c r="F28" s="338"/>
      <c r="G28" s="338"/>
      <c r="H28" s="370"/>
      <c r="I28" s="338" t="str">
        <f t="shared" si="0"/>
        <v>HER</v>
      </c>
      <c r="J28" s="338"/>
      <c r="K28" s="342"/>
      <c r="L28" s="342"/>
      <c r="M28" s="342"/>
      <c r="N28" s="342"/>
      <c r="O28" s="342"/>
      <c r="P28" s="342"/>
      <c r="Q28" s="342"/>
      <c r="R28" s="342"/>
      <c r="S28" s="342"/>
      <c r="T28" s="346"/>
      <c r="U28" s="477"/>
      <c r="V28" s="124" t="s">
        <v>33</v>
      </c>
      <c r="W28" s="124" t="s">
        <v>548</v>
      </c>
      <c r="Z28" s="2576" t="s">
        <v>141</v>
      </c>
      <c r="AA28" s="2577"/>
      <c r="AB28" s="8" t="s">
        <v>122</v>
      </c>
      <c r="AC28" s="8" t="s">
        <v>129</v>
      </c>
      <c r="AD28" s="8" t="s">
        <v>129</v>
      </c>
      <c r="AE28" s="127" t="s">
        <v>550</v>
      </c>
      <c r="AH28" s="53" t="s">
        <v>796</v>
      </c>
      <c r="AI28" s="194"/>
      <c r="AJ28" s="194"/>
      <c r="AK28" s="194"/>
      <c r="AL28" s="194"/>
      <c r="AM28" s="194"/>
      <c r="AN28" s="194"/>
      <c r="AO28" s="194"/>
      <c r="AP28" s="194"/>
      <c r="AQ28" s="194"/>
      <c r="AR28" s="194"/>
      <c r="AS28" s="194"/>
    </row>
    <row r="29" spans="1:45" x14ac:dyDescent="0.25">
      <c r="A29" s="8" t="s">
        <v>506</v>
      </c>
      <c r="B29" s="8" t="s">
        <v>507</v>
      </c>
      <c r="C29" s="341" t="s">
        <v>289</v>
      </c>
      <c r="D29" s="341" t="s">
        <v>289</v>
      </c>
      <c r="E29" s="341" t="s">
        <v>289</v>
      </c>
      <c r="F29" s="341" t="s">
        <v>289</v>
      </c>
      <c r="G29" s="341" t="s">
        <v>289</v>
      </c>
      <c r="H29" s="371" t="s">
        <v>289</v>
      </c>
      <c r="I29" s="338" t="str">
        <f t="shared" si="0"/>
        <v>HSB</v>
      </c>
      <c r="J29" s="338"/>
      <c r="K29" s="342" t="s">
        <v>289</v>
      </c>
      <c r="L29" s="342" t="s">
        <v>289</v>
      </c>
      <c r="M29" s="342"/>
      <c r="N29" s="342" t="s">
        <v>289</v>
      </c>
      <c r="O29" s="342" t="s">
        <v>289</v>
      </c>
      <c r="P29" s="342" t="s">
        <v>289</v>
      </c>
      <c r="Q29" s="342" t="s">
        <v>289</v>
      </c>
      <c r="R29" s="342" t="s">
        <v>289</v>
      </c>
      <c r="S29" s="342" t="s">
        <v>289</v>
      </c>
      <c r="T29" s="347"/>
      <c r="U29" s="477"/>
      <c r="V29" s="125" t="s">
        <v>34</v>
      </c>
      <c r="W29" s="8">
        <v>1650</v>
      </c>
      <c r="Y29" s="8" t="s">
        <v>81</v>
      </c>
      <c r="Z29" s="127" t="s">
        <v>574</v>
      </c>
      <c r="AA29" s="299">
        <v>1</v>
      </c>
      <c r="AB29" s="8" t="s">
        <v>123</v>
      </c>
      <c r="AC29" s="8" t="s">
        <v>130</v>
      </c>
      <c r="AD29" s="8" t="s">
        <v>130</v>
      </c>
      <c r="AE29" s="8" t="s">
        <v>551</v>
      </c>
    </row>
    <row r="30" spans="1:45" x14ac:dyDescent="0.25">
      <c r="A30" s="8" t="s">
        <v>322</v>
      </c>
      <c r="B30" s="8" t="s">
        <v>323</v>
      </c>
      <c r="C30" s="338">
        <v>6.0000000000000001E-3</v>
      </c>
      <c r="D30" s="338">
        <v>1.5E-3</v>
      </c>
      <c r="E30" s="338">
        <v>1.5E-3</v>
      </c>
      <c r="F30" s="338">
        <v>1.5E-3</v>
      </c>
      <c r="G30" s="338">
        <v>1.5E-3</v>
      </c>
      <c r="H30" s="370">
        <v>1.5E-3</v>
      </c>
      <c r="I30" s="338" t="str">
        <f t="shared" si="0"/>
        <v>HSL</v>
      </c>
      <c r="J30" s="338"/>
      <c r="K30" s="343">
        <v>5.6300000000000003E-2</v>
      </c>
      <c r="L30" s="342" t="s">
        <v>289</v>
      </c>
      <c r="M30" s="343">
        <f>+K30+0.18%</f>
        <v>5.8100000000000006E-2</v>
      </c>
      <c r="N30" s="342" t="s">
        <v>289</v>
      </c>
      <c r="O30" s="343">
        <v>4.7899999999999998E-2</v>
      </c>
      <c r="P30" s="343">
        <v>4.8899999999999999E-2</v>
      </c>
      <c r="Q30" s="343">
        <v>5.1400000000000001E-2</v>
      </c>
      <c r="R30" s="343">
        <v>5.4399999999999997E-2</v>
      </c>
      <c r="S30" s="343">
        <v>5.79E-2</v>
      </c>
      <c r="T30" s="348">
        <v>41665</v>
      </c>
      <c r="U30" s="477"/>
      <c r="V30" s="125" t="s">
        <v>39</v>
      </c>
      <c r="W30" s="8">
        <v>1650</v>
      </c>
      <c r="Y30" s="8" t="s">
        <v>884</v>
      </c>
      <c r="Z30" s="8" t="s">
        <v>883</v>
      </c>
      <c r="AA30" s="299">
        <v>4</v>
      </c>
      <c r="AB30" s="8" t="s">
        <v>124</v>
      </c>
      <c r="AC30" s="127" t="s">
        <v>130</v>
      </c>
    </row>
    <row r="31" spans="1:45" x14ac:dyDescent="0.25">
      <c r="A31" s="8" t="s">
        <v>967</v>
      </c>
      <c r="B31" s="8" t="s">
        <v>968</v>
      </c>
      <c r="C31" s="338"/>
      <c r="D31" s="338"/>
      <c r="E31" s="338"/>
      <c r="F31" s="338"/>
      <c r="G31" s="338"/>
      <c r="H31" s="370"/>
      <c r="I31" s="338" t="str">
        <f t="shared" si="0"/>
        <v>IMB</v>
      </c>
      <c r="J31" s="338"/>
      <c r="K31" s="343"/>
      <c r="L31" s="342"/>
      <c r="M31" s="343"/>
      <c r="N31" s="342"/>
      <c r="O31" s="343"/>
      <c r="P31" s="343"/>
      <c r="Q31" s="343"/>
      <c r="R31" s="343"/>
      <c r="S31" s="343"/>
      <c r="T31" s="348"/>
      <c r="U31" s="477"/>
      <c r="V31" s="125" t="s">
        <v>48</v>
      </c>
      <c r="W31" s="8">
        <v>1320</v>
      </c>
      <c r="Y31" s="8" t="s">
        <v>69</v>
      </c>
      <c r="Z31" s="127" t="s">
        <v>575</v>
      </c>
      <c r="AA31" s="299">
        <v>12</v>
      </c>
      <c r="AB31" s="8" t="s">
        <v>125</v>
      </c>
      <c r="AC31" s="127" t="s">
        <v>130</v>
      </c>
    </row>
    <row r="32" spans="1:45" x14ac:dyDescent="0.25">
      <c r="A32" s="8" t="s">
        <v>312</v>
      </c>
      <c r="B32" s="8" t="s">
        <v>1103</v>
      </c>
      <c r="C32" s="338">
        <v>6.0000000000000001E-3</v>
      </c>
      <c r="D32" s="338">
        <v>1.5E-3</v>
      </c>
      <c r="E32" s="338">
        <v>1.5E-3</v>
      </c>
      <c r="F32" s="338">
        <v>1.5E-3</v>
      </c>
      <c r="G32" s="338">
        <v>1.5E-3</v>
      </c>
      <c r="H32" s="370">
        <v>1.5E-3</v>
      </c>
      <c r="I32" s="338" t="str">
        <f t="shared" si="0"/>
        <v>ING</v>
      </c>
      <c r="J32" s="338"/>
      <c r="K32" s="342" t="s">
        <v>289</v>
      </c>
      <c r="L32" s="342" t="s">
        <v>289</v>
      </c>
      <c r="M32" s="342"/>
      <c r="N32" s="342" t="s">
        <v>289</v>
      </c>
      <c r="O32" s="342" t="s">
        <v>289</v>
      </c>
      <c r="P32" s="342" t="s">
        <v>289</v>
      </c>
      <c r="Q32" s="342" t="s">
        <v>289</v>
      </c>
      <c r="R32" s="342" t="s">
        <v>289</v>
      </c>
      <c r="S32" s="342" t="s">
        <v>289</v>
      </c>
      <c r="T32" s="346"/>
      <c r="U32" s="477"/>
      <c r="V32" s="125" t="s">
        <v>41</v>
      </c>
      <c r="W32" s="8">
        <v>990</v>
      </c>
      <c r="Y32" s="8" t="s">
        <v>880</v>
      </c>
      <c r="Z32" s="8" t="s">
        <v>580</v>
      </c>
      <c r="AA32" s="299">
        <f>52/4</f>
        <v>13</v>
      </c>
      <c r="AB32" s="8" t="s">
        <v>126</v>
      </c>
    </row>
    <row r="33" spans="1:32" x14ac:dyDescent="0.25">
      <c r="A33" s="8" t="s">
        <v>1104</v>
      </c>
      <c r="B33" s="8" t="s">
        <v>1105</v>
      </c>
      <c r="C33" s="338"/>
      <c r="D33" s="338"/>
      <c r="E33" s="338"/>
      <c r="F33" s="338"/>
      <c r="G33" s="338"/>
      <c r="H33" s="370"/>
      <c r="I33" s="338" t="str">
        <f t="shared" si="0"/>
        <v>LOA</v>
      </c>
      <c r="J33" s="338"/>
      <c r="K33" s="342"/>
      <c r="L33" s="342"/>
      <c r="M33" s="342"/>
      <c r="N33" s="342"/>
      <c r="O33" s="342"/>
      <c r="P33" s="342"/>
      <c r="Q33" s="342"/>
      <c r="R33" s="342"/>
      <c r="S33" s="342"/>
      <c r="T33" s="346"/>
      <c r="U33" s="477"/>
      <c r="V33" s="125" t="s">
        <v>43</v>
      </c>
      <c r="W33" s="8">
        <v>990</v>
      </c>
      <c r="Y33" s="127" t="s">
        <v>881</v>
      </c>
      <c r="Z33" s="127" t="s">
        <v>576</v>
      </c>
      <c r="AA33" s="299">
        <v>26</v>
      </c>
    </row>
    <row r="34" spans="1:32" x14ac:dyDescent="0.25">
      <c r="A34" s="8" t="s">
        <v>1106</v>
      </c>
      <c r="B34" s="8" t="s">
        <v>1107</v>
      </c>
      <c r="C34" s="338"/>
      <c r="D34" s="338"/>
      <c r="E34" s="338"/>
      <c r="F34" s="338"/>
      <c r="G34" s="338"/>
      <c r="H34" s="370"/>
      <c r="I34" s="338" t="str">
        <f t="shared" si="0"/>
        <v>LIB</v>
      </c>
      <c r="J34" s="338"/>
      <c r="K34" s="342"/>
      <c r="L34" s="342"/>
      <c r="M34" s="342"/>
      <c r="N34" s="342"/>
      <c r="O34" s="342"/>
      <c r="P34" s="342"/>
      <c r="Q34" s="342"/>
      <c r="R34" s="342"/>
      <c r="S34" s="342"/>
      <c r="T34" s="346"/>
      <c r="U34" s="477"/>
      <c r="V34" s="125" t="s">
        <v>44</v>
      </c>
      <c r="W34" s="8">
        <v>990</v>
      </c>
      <c r="Y34" s="127" t="s">
        <v>882</v>
      </c>
      <c r="Z34" s="127" t="s">
        <v>577</v>
      </c>
      <c r="AA34" s="299">
        <v>52</v>
      </c>
      <c r="AB34" s="124" t="s">
        <v>143</v>
      </c>
      <c r="AC34" s="124" t="s">
        <v>143</v>
      </c>
      <c r="AE34" s="124" t="s">
        <v>384</v>
      </c>
      <c r="AF34" s="1477" t="s">
        <v>989</v>
      </c>
    </row>
    <row r="35" spans="1:32" x14ac:dyDescent="0.25">
      <c r="A35" s="8" t="s">
        <v>339</v>
      </c>
      <c r="B35" s="8" t="s">
        <v>282</v>
      </c>
      <c r="C35" s="338">
        <v>6.0000000000000001E-3</v>
      </c>
      <c r="D35" s="338">
        <v>1.5E-3</v>
      </c>
      <c r="E35" s="338">
        <v>1.5E-3</v>
      </c>
      <c r="F35" s="338">
        <v>1.5E-3</v>
      </c>
      <c r="G35" s="338">
        <v>1.5E-3</v>
      </c>
      <c r="H35" s="370">
        <v>1.5E-3</v>
      </c>
      <c r="I35" s="338" t="str">
        <f t="shared" si="0"/>
        <v>MCQ</v>
      </c>
      <c r="J35" s="338"/>
      <c r="K35" s="343">
        <v>5.5E-2</v>
      </c>
      <c r="L35" s="343">
        <f>+K35-1.11%</f>
        <v>4.3900000000000002E-2</v>
      </c>
      <c r="M35" s="343">
        <f>+K35</f>
        <v>5.5E-2</v>
      </c>
      <c r="N35" s="342" t="s">
        <v>289</v>
      </c>
      <c r="O35" s="343">
        <v>4.8399999999999999E-2</v>
      </c>
      <c r="P35" s="343">
        <v>4.8399999999999999E-2</v>
      </c>
      <c r="Q35" s="343">
        <v>5.3400000000000003E-2</v>
      </c>
      <c r="R35" s="343">
        <v>5.74E-2</v>
      </c>
      <c r="S35" s="343">
        <v>5.9400000000000001E-2</v>
      </c>
      <c r="T35" s="348">
        <v>41665</v>
      </c>
      <c r="U35" s="477"/>
      <c r="V35" s="125" t="s">
        <v>47</v>
      </c>
      <c r="W35" s="8">
        <v>1650</v>
      </c>
      <c r="Y35" s="127" t="s">
        <v>885</v>
      </c>
      <c r="Z35" s="127" t="s">
        <v>578</v>
      </c>
      <c r="AA35" s="299">
        <f>48*5</f>
        <v>240</v>
      </c>
      <c r="AB35" s="8" t="s">
        <v>144</v>
      </c>
      <c r="AC35" s="8" t="s">
        <v>25</v>
      </c>
      <c r="AE35" s="8" t="s">
        <v>381</v>
      </c>
      <c r="AF35" s="8" t="s">
        <v>1399</v>
      </c>
    </row>
    <row r="36" spans="1:32" x14ac:dyDescent="0.25">
      <c r="A36" s="8" t="s">
        <v>340</v>
      </c>
      <c r="B36" s="8" t="s">
        <v>341</v>
      </c>
      <c r="C36" s="338">
        <v>6.0000000000000001E-3</v>
      </c>
      <c r="D36" s="338">
        <v>1.5E-3</v>
      </c>
      <c r="E36" s="338">
        <v>1.5E-3</v>
      </c>
      <c r="F36" s="338">
        <v>1.5E-3</v>
      </c>
      <c r="G36" s="338">
        <v>1.5E-3</v>
      </c>
      <c r="H36" s="370">
        <v>1.5E-3</v>
      </c>
      <c r="I36" s="338" t="str">
        <f t="shared" si="0"/>
        <v>MEB</v>
      </c>
      <c r="J36" s="338"/>
      <c r="K36" s="343">
        <v>5.4300000000000001E-2</v>
      </c>
      <c r="L36" s="343">
        <f>+K36-0.94%</f>
        <v>4.4900000000000002E-2</v>
      </c>
      <c r="M36" s="342"/>
      <c r="N36" s="342" t="s">
        <v>289</v>
      </c>
      <c r="O36" s="342" t="s">
        <v>289</v>
      </c>
      <c r="P36" s="342" t="s">
        <v>289</v>
      </c>
      <c r="Q36" s="342" t="s">
        <v>289</v>
      </c>
      <c r="R36" s="342" t="s">
        <v>289</v>
      </c>
      <c r="S36" s="342" t="s">
        <v>289</v>
      </c>
      <c r="T36" s="346"/>
      <c r="U36" s="477"/>
      <c r="V36" s="1054" t="s">
        <v>45</v>
      </c>
      <c r="W36" s="8">
        <v>990</v>
      </c>
      <c r="Y36" s="127" t="s">
        <v>886</v>
      </c>
      <c r="Z36" s="127" t="s">
        <v>579</v>
      </c>
      <c r="AA36" s="299">
        <f>240*8</f>
        <v>1920</v>
      </c>
      <c r="AB36" s="8" t="s">
        <v>145</v>
      </c>
      <c r="AC36" s="8" t="s">
        <v>246</v>
      </c>
      <c r="AE36" s="8" t="s">
        <v>1448</v>
      </c>
      <c r="AF36" s="8" t="s">
        <v>989</v>
      </c>
    </row>
    <row r="37" spans="1:32" x14ac:dyDescent="0.25">
      <c r="A37" s="8" t="s">
        <v>977</v>
      </c>
      <c r="B37" s="8" t="s">
        <v>978</v>
      </c>
      <c r="C37" s="338"/>
      <c r="D37" s="338"/>
      <c r="E37" s="338"/>
      <c r="F37" s="338"/>
      <c r="G37" s="338"/>
      <c r="H37" s="370"/>
      <c r="I37" s="338" t="str">
        <f t="shared" si="0"/>
        <v>MOR</v>
      </c>
      <c r="J37" s="338"/>
      <c r="K37" s="343"/>
      <c r="L37" s="343"/>
      <c r="M37" s="342"/>
      <c r="N37" s="342"/>
      <c r="O37" s="342"/>
      <c r="P37" s="342"/>
      <c r="Q37" s="342"/>
      <c r="R37" s="342"/>
      <c r="S37" s="342"/>
      <c r="T37" s="346"/>
      <c r="U37" s="477"/>
      <c r="V37" s="125" t="s">
        <v>111</v>
      </c>
      <c r="W37" s="8">
        <v>2000</v>
      </c>
      <c r="Z37" s="127"/>
      <c r="AB37" s="8" t="s">
        <v>146</v>
      </c>
      <c r="AC37" s="127" t="s">
        <v>293</v>
      </c>
      <c r="AE37" s="8" t="s">
        <v>1449</v>
      </c>
      <c r="AF37" s="127" t="s">
        <v>1447</v>
      </c>
    </row>
    <row r="38" spans="1:32" x14ac:dyDescent="0.25">
      <c r="A38" s="8" t="s">
        <v>349</v>
      </c>
      <c r="B38" s="8" t="s">
        <v>350</v>
      </c>
      <c r="C38" s="338">
        <v>6.0000000000000001E-3</v>
      </c>
      <c r="D38" s="338">
        <v>1.5E-3</v>
      </c>
      <c r="E38" s="338">
        <v>1.5E-3</v>
      </c>
      <c r="F38" s="338">
        <v>1.5E-3</v>
      </c>
      <c r="G38" s="338">
        <v>1.5E-3</v>
      </c>
      <c r="H38" s="370">
        <v>1.5E-3</v>
      </c>
      <c r="I38" s="338" t="str">
        <f t="shared" si="0"/>
        <v>MKM</v>
      </c>
      <c r="J38" s="338"/>
      <c r="K38" s="342" t="s">
        <v>289</v>
      </c>
      <c r="L38" s="342" t="s">
        <v>289</v>
      </c>
      <c r="M38" s="342"/>
      <c r="N38" s="342" t="s">
        <v>289</v>
      </c>
      <c r="O38" s="342" t="s">
        <v>289</v>
      </c>
      <c r="P38" s="342" t="s">
        <v>289</v>
      </c>
      <c r="Q38" s="342" t="s">
        <v>289</v>
      </c>
      <c r="R38" s="342" t="s">
        <v>289</v>
      </c>
      <c r="S38" s="342" t="s">
        <v>289</v>
      </c>
      <c r="T38" s="346"/>
      <c r="U38" s="477"/>
      <c r="AB38" s="8" t="s">
        <v>147</v>
      </c>
      <c r="AC38" s="127" t="s">
        <v>289</v>
      </c>
      <c r="AE38" s="8" t="s">
        <v>1450</v>
      </c>
    </row>
    <row r="39" spans="1:32" x14ac:dyDescent="0.25">
      <c r="A39" s="8" t="s">
        <v>1108</v>
      </c>
      <c r="B39" s="8" t="s">
        <v>1109</v>
      </c>
      <c r="C39" s="338"/>
      <c r="D39" s="338"/>
      <c r="E39" s="338"/>
      <c r="F39" s="338"/>
      <c r="G39" s="338"/>
      <c r="H39" s="370"/>
      <c r="I39" s="338" t="str">
        <f t="shared" si="0"/>
        <v>MYS</v>
      </c>
      <c r="J39" s="338"/>
      <c r="K39" s="342"/>
      <c r="L39" s="342"/>
      <c r="M39" s="342"/>
      <c r="N39" s="342"/>
      <c r="O39" s="342"/>
      <c r="P39" s="342"/>
      <c r="Q39" s="342"/>
      <c r="R39" s="342"/>
      <c r="S39" s="342"/>
      <c r="T39" s="346"/>
      <c r="U39" s="477"/>
      <c r="AB39" s="8" t="s">
        <v>289</v>
      </c>
      <c r="AE39" s="8" t="s">
        <v>1451</v>
      </c>
    </row>
    <row r="40" spans="1:32" x14ac:dyDescent="0.25">
      <c r="A40" s="8" t="s">
        <v>320</v>
      </c>
      <c r="B40" s="8" t="s">
        <v>321</v>
      </c>
      <c r="C40" s="338">
        <v>6.0000000000000001E-3</v>
      </c>
      <c r="D40" s="338"/>
      <c r="E40" s="338"/>
      <c r="F40" s="338"/>
      <c r="G40" s="338"/>
      <c r="H40" s="370"/>
      <c r="I40" s="338" t="str">
        <f t="shared" si="0"/>
        <v>NAB</v>
      </c>
      <c r="J40" s="338"/>
      <c r="K40" s="342" t="s">
        <v>289</v>
      </c>
      <c r="L40" s="342" t="s">
        <v>289</v>
      </c>
      <c r="M40" s="342"/>
      <c r="N40" s="342" t="s">
        <v>289</v>
      </c>
      <c r="O40" s="342" t="s">
        <v>289</v>
      </c>
      <c r="P40" s="342" t="s">
        <v>289</v>
      </c>
      <c r="Q40" s="342" t="s">
        <v>289</v>
      </c>
      <c r="R40" s="342" t="s">
        <v>289</v>
      </c>
      <c r="S40" s="342" t="s">
        <v>289</v>
      </c>
      <c r="T40" s="346"/>
      <c r="U40" s="477"/>
      <c r="AB40" s="8" t="s">
        <v>774</v>
      </c>
      <c r="AC40" s="127" t="s">
        <v>775</v>
      </c>
      <c r="AE40" s="8" t="s">
        <v>1452</v>
      </c>
    </row>
    <row r="41" spans="1:32" x14ac:dyDescent="0.25">
      <c r="A41" s="8" t="s">
        <v>961</v>
      </c>
      <c r="B41" s="8" t="s">
        <v>962</v>
      </c>
      <c r="C41" s="338"/>
      <c r="D41" s="338"/>
      <c r="E41" s="338"/>
      <c r="F41" s="338"/>
      <c r="G41" s="338"/>
      <c r="H41" s="370"/>
      <c r="I41" s="338" t="str">
        <f t="shared" si="0"/>
        <v>NEW</v>
      </c>
      <c r="J41" s="338"/>
      <c r="K41" s="342"/>
      <c r="L41" s="342"/>
      <c r="M41" s="342"/>
      <c r="N41" s="342"/>
      <c r="O41" s="342"/>
      <c r="P41" s="342"/>
      <c r="Q41" s="342"/>
      <c r="R41" s="342"/>
      <c r="S41" s="342"/>
      <c r="T41" s="346"/>
      <c r="U41" s="477"/>
    </row>
    <row r="42" spans="1:32" x14ac:dyDescent="0.25">
      <c r="A42" s="8" t="s">
        <v>342</v>
      </c>
      <c r="B42" s="8" t="s">
        <v>343</v>
      </c>
      <c r="C42" s="341" t="s">
        <v>289</v>
      </c>
      <c r="D42" s="341" t="s">
        <v>289</v>
      </c>
      <c r="E42" s="341" t="s">
        <v>289</v>
      </c>
      <c r="F42" s="341" t="s">
        <v>289</v>
      </c>
      <c r="G42" s="341" t="s">
        <v>289</v>
      </c>
      <c r="H42" s="371" t="s">
        <v>289</v>
      </c>
      <c r="I42" s="338" t="str">
        <f t="shared" si="0"/>
        <v>OTH</v>
      </c>
      <c r="J42" s="338"/>
      <c r="K42" s="342" t="s">
        <v>289</v>
      </c>
      <c r="L42" s="342" t="s">
        <v>289</v>
      </c>
      <c r="M42" s="342"/>
      <c r="N42" s="342" t="s">
        <v>289</v>
      </c>
      <c r="O42" s="342" t="s">
        <v>289</v>
      </c>
      <c r="P42" s="342" t="s">
        <v>289</v>
      </c>
      <c r="Q42" s="342" t="s">
        <v>289</v>
      </c>
      <c r="R42" s="342" t="s">
        <v>289</v>
      </c>
      <c r="S42" s="342" t="s">
        <v>289</v>
      </c>
      <c r="T42" s="347"/>
      <c r="U42" s="477"/>
      <c r="AC42" s="127"/>
    </row>
    <row r="43" spans="1:32" x14ac:dyDescent="0.25">
      <c r="A43" s="8" t="s">
        <v>344</v>
      </c>
      <c r="B43" s="8" t="s">
        <v>1112</v>
      </c>
      <c r="C43" s="338">
        <v>6.0000000000000001E-3</v>
      </c>
      <c r="D43" s="338">
        <v>1.5E-3</v>
      </c>
      <c r="E43" s="338">
        <v>1.5E-3</v>
      </c>
      <c r="F43" s="338">
        <v>1.5E-3</v>
      </c>
      <c r="G43" s="338">
        <v>1.5E-3</v>
      </c>
      <c r="H43" s="370">
        <v>1.5E-3</v>
      </c>
      <c r="I43" s="338" t="str">
        <f t="shared" si="0"/>
        <v>PEP</v>
      </c>
      <c r="J43" s="338"/>
      <c r="K43" s="342" t="s">
        <v>289</v>
      </c>
      <c r="L43" s="342" t="s">
        <v>289</v>
      </c>
      <c r="M43" s="342"/>
      <c r="N43" s="342" t="s">
        <v>289</v>
      </c>
      <c r="O43" s="342" t="s">
        <v>289</v>
      </c>
      <c r="P43" s="342" t="s">
        <v>289</v>
      </c>
      <c r="Q43" s="342" t="s">
        <v>289</v>
      </c>
      <c r="R43" s="342" t="s">
        <v>289</v>
      </c>
      <c r="S43" s="342" t="s">
        <v>289</v>
      </c>
      <c r="T43" s="346"/>
      <c r="U43" s="477"/>
      <c r="Z43" s="124" t="s">
        <v>995</v>
      </c>
      <c r="AB43" s="124" t="s">
        <v>254</v>
      </c>
      <c r="AC43" s="124" t="s">
        <v>259</v>
      </c>
    </row>
    <row r="44" spans="1:32" x14ac:dyDescent="0.25">
      <c r="A44" s="8" t="s">
        <v>1111</v>
      </c>
      <c r="B44" s="8" t="s">
        <v>1110</v>
      </c>
      <c r="C44" s="338"/>
      <c r="D44" s="338"/>
      <c r="E44" s="338"/>
      <c r="F44" s="338"/>
      <c r="G44" s="338"/>
      <c r="H44" s="370"/>
      <c r="I44" s="338" t="str">
        <f t="shared" si="0"/>
        <v>PNB</v>
      </c>
      <c r="J44" s="338"/>
      <c r="K44" s="342"/>
      <c r="L44" s="342"/>
      <c r="M44" s="342"/>
      <c r="N44" s="342"/>
      <c r="O44" s="342"/>
      <c r="P44" s="342"/>
      <c r="Q44" s="342"/>
      <c r="R44" s="342"/>
      <c r="S44" s="342"/>
      <c r="T44" s="346"/>
      <c r="U44" s="477"/>
      <c r="Z44" s="127" t="s">
        <v>996</v>
      </c>
      <c r="AB44" s="8" t="s">
        <v>253</v>
      </c>
      <c r="AC44" s="8" t="s">
        <v>259</v>
      </c>
    </row>
    <row r="45" spans="1:32" x14ac:dyDescent="0.25">
      <c r="A45" s="8" t="s">
        <v>1113</v>
      </c>
      <c r="B45" s="8" t="s">
        <v>1114</v>
      </c>
      <c r="C45" s="338"/>
      <c r="D45" s="338"/>
      <c r="E45" s="338"/>
      <c r="F45" s="338"/>
      <c r="G45" s="338"/>
      <c r="H45" s="370"/>
      <c r="I45" s="338" t="str">
        <f t="shared" si="0"/>
        <v>POL</v>
      </c>
      <c r="J45" s="338"/>
      <c r="K45" s="342"/>
      <c r="L45" s="342"/>
      <c r="M45" s="342"/>
      <c r="N45" s="342"/>
      <c r="O45" s="342"/>
      <c r="P45" s="342"/>
      <c r="Q45" s="342"/>
      <c r="R45" s="342"/>
      <c r="S45" s="342"/>
      <c r="T45" s="346"/>
      <c r="U45" s="477"/>
      <c r="Z45" s="127" t="s">
        <v>997</v>
      </c>
      <c r="AB45" s="8" t="s">
        <v>255</v>
      </c>
      <c r="AC45" s="8" t="s">
        <v>260</v>
      </c>
    </row>
    <row r="46" spans="1:32" x14ac:dyDescent="0.25">
      <c r="A46" s="8" t="s">
        <v>1115</v>
      </c>
      <c r="B46" s="8" t="s">
        <v>1116</v>
      </c>
      <c r="C46" s="338"/>
      <c r="D46" s="338"/>
      <c r="E46" s="338"/>
      <c r="F46" s="338"/>
      <c r="G46" s="338"/>
      <c r="H46" s="370"/>
      <c r="I46" s="338" t="str">
        <f t="shared" si="0"/>
        <v>QBK</v>
      </c>
      <c r="J46" s="338"/>
      <c r="K46" s="342"/>
      <c r="L46" s="342"/>
      <c r="M46" s="342"/>
      <c r="N46" s="342"/>
      <c r="O46" s="342"/>
      <c r="P46" s="342"/>
      <c r="Q46" s="342"/>
      <c r="R46" s="342"/>
      <c r="S46" s="342"/>
      <c r="T46" s="346"/>
      <c r="U46" s="477"/>
      <c r="Z46" s="127" t="s">
        <v>998</v>
      </c>
      <c r="AB46" s="8" t="s">
        <v>256</v>
      </c>
      <c r="AC46" s="8" t="s">
        <v>261</v>
      </c>
    </row>
    <row r="47" spans="1:32" x14ac:dyDescent="0.25">
      <c r="A47" s="8" t="s">
        <v>1117</v>
      </c>
      <c r="B47" s="8" t="s">
        <v>1118</v>
      </c>
      <c r="C47" s="338"/>
      <c r="D47" s="338"/>
      <c r="E47" s="338"/>
      <c r="F47" s="338"/>
      <c r="G47" s="338"/>
      <c r="H47" s="370"/>
      <c r="I47" s="338" t="str">
        <f t="shared" si="0"/>
        <v>QCU</v>
      </c>
      <c r="J47" s="338"/>
      <c r="K47" s="342"/>
      <c r="L47" s="342"/>
      <c r="M47" s="342"/>
      <c r="N47" s="342"/>
      <c r="O47" s="342"/>
      <c r="P47" s="342"/>
      <c r="Q47" s="342"/>
      <c r="R47" s="342"/>
      <c r="S47" s="342"/>
      <c r="T47" s="346"/>
      <c r="U47" s="477"/>
      <c r="Z47" s="127" t="s">
        <v>999</v>
      </c>
      <c r="AB47" s="8" t="s">
        <v>257</v>
      </c>
      <c r="AC47" s="127" t="s">
        <v>262</v>
      </c>
    </row>
    <row r="48" spans="1:32" x14ac:dyDescent="0.25">
      <c r="A48" s="8" t="s">
        <v>1119</v>
      </c>
      <c r="B48" s="8" t="s">
        <v>1120</v>
      </c>
      <c r="C48" s="338"/>
      <c r="D48" s="338"/>
      <c r="E48" s="338"/>
      <c r="F48" s="338"/>
      <c r="G48" s="338"/>
      <c r="H48" s="370"/>
      <c r="I48" s="338" t="str">
        <f t="shared" si="0"/>
        <v>QUD</v>
      </c>
      <c r="J48" s="338"/>
      <c r="K48" s="342"/>
      <c r="L48" s="342"/>
      <c r="M48" s="342"/>
      <c r="N48" s="342"/>
      <c r="O48" s="342"/>
      <c r="P48" s="342"/>
      <c r="Q48" s="342"/>
      <c r="R48" s="342"/>
      <c r="S48" s="342"/>
      <c r="T48" s="346"/>
      <c r="U48" s="477"/>
      <c r="Z48" s="127" t="s">
        <v>1000</v>
      </c>
      <c r="AB48" s="8" t="s">
        <v>258</v>
      </c>
      <c r="AC48" s="127" t="s">
        <v>263</v>
      </c>
    </row>
    <row r="49" spans="1:29" x14ac:dyDescent="0.25">
      <c r="A49" s="8" t="s">
        <v>351</v>
      </c>
      <c r="B49" s="8" t="s">
        <v>352</v>
      </c>
      <c r="C49" s="341" t="s">
        <v>289</v>
      </c>
      <c r="D49" s="341" t="s">
        <v>289</v>
      </c>
      <c r="E49" s="341" t="s">
        <v>289</v>
      </c>
      <c r="F49" s="341" t="s">
        <v>289</v>
      </c>
      <c r="G49" s="341" t="s">
        <v>289</v>
      </c>
      <c r="H49" s="371" t="s">
        <v>289</v>
      </c>
      <c r="I49" s="338" t="str">
        <f t="shared" si="0"/>
        <v>RAM</v>
      </c>
      <c r="J49" s="338"/>
      <c r="K49" s="342" t="s">
        <v>289</v>
      </c>
      <c r="L49" s="342" t="s">
        <v>289</v>
      </c>
      <c r="M49" s="342"/>
      <c r="N49" s="342" t="s">
        <v>289</v>
      </c>
      <c r="O49" s="342" t="s">
        <v>289</v>
      </c>
      <c r="P49" s="342" t="s">
        <v>289</v>
      </c>
      <c r="Q49" s="342" t="s">
        <v>289</v>
      </c>
      <c r="R49" s="342" t="s">
        <v>289</v>
      </c>
      <c r="S49" s="342" t="s">
        <v>289</v>
      </c>
      <c r="T49" s="347"/>
      <c r="U49" s="477"/>
      <c r="Z49" s="127"/>
      <c r="AC49" s="127" t="s">
        <v>264</v>
      </c>
    </row>
    <row r="50" spans="1:29" x14ac:dyDescent="0.25">
      <c r="A50" s="8" t="s">
        <v>1122</v>
      </c>
      <c r="B50" s="8" t="s">
        <v>1121</v>
      </c>
      <c r="C50" s="341"/>
      <c r="D50" s="341"/>
      <c r="E50" s="341"/>
      <c r="F50" s="341"/>
      <c r="G50" s="341"/>
      <c r="H50" s="371"/>
      <c r="I50" s="338" t="str">
        <f t="shared" si="0"/>
        <v>REG</v>
      </c>
      <c r="J50" s="338"/>
      <c r="K50" s="342"/>
      <c r="L50" s="342"/>
      <c r="M50" s="342"/>
      <c r="N50" s="342"/>
      <c r="O50" s="342"/>
      <c r="P50" s="342"/>
      <c r="Q50" s="342"/>
      <c r="R50" s="342"/>
      <c r="S50" s="342"/>
      <c r="T50" s="347"/>
      <c r="U50" s="477"/>
      <c r="Z50" s="127"/>
      <c r="AC50" s="127" t="s">
        <v>73</v>
      </c>
    </row>
    <row r="51" spans="1:29" x14ac:dyDescent="0.25">
      <c r="A51" s="8" t="s">
        <v>1123</v>
      </c>
      <c r="B51" s="8" t="s">
        <v>1124</v>
      </c>
      <c r="C51" s="341"/>
      <c r="D51" s="341"/>
      <c r="E51" s="341"/>
      <c r="F51" s="341"/>
      <c r="G51" s="341"/>
      <c r="H51" s="371"/>
      <c r="I51" s="338" t="str">
        <f t="shared" si="0"/>
        <v>RES</v>
      </c>
      <c r="J51" s="338"/>
      <c r="K51" s="342"/>
      <c r="L51" s="342"/>
      <c r="M51" s="342"/>
      <c r="N51" s="342"/>
      <c r="O51" s="342"/>
      <c r="P51" s="342"/>
      <c r="Q51" s="342"/>
      <c r="R51" s="342"/>
      <c r="S51" s="342"/>
      <c r="T51" s="347"/>
      <c r="U51" s="477"/>
      <c r="AC51" s="127" t="s">
        <v>265</v>
      </c>
    </row>
    <row r="52" spans="1:29" x14ac:dyDescent="0.25">
      <c r="A52" s="8" t="s">
        <v>963</v>
      </c>
      <c r="B52" s="8" t="s">
        <v>964</v>
      </c>
      <c r="C52" s="341"/>
      <c r="D52" s="341"/>
      <c r="E52" s="341"/>
      <c r="F52" s="341"/>
      <c r="G52" s="341"/>
      <c r="H52" s="371"/>
      <c r="I52" s="338" t="str">
        <f t="shared" si="0"/>
        <v>RCK</v>
      </c>
      <c r="J52" s="338"/>
      <c r="K52" s="342"/>
      <c r="L52" s="342"/>
      <c r="M52" s="342"/>
      <c r="N52" s="342"/>
      <c r="O52" s="342"/>
      <c r="P52" s="342"/>
      <c r="Q52" s="342"/>
      <c r="R52" s="342"/>
      <c r="S52" s="342"/>
      <c r="T52" s="347"/>
      <c r="U52" s="477"/>
      <c r="AC52" s="127"/>
    </row>
    <row r="53" spans="1:29" x14ac:dyDescent="0.25">
      <c r="A53" s="8" t="s">
        <v>1125</v>
      </c>
      <c r="B53" s="8" t="s">
        <v>1126</v>
      </c>
      <c r="C53" s="341"/>
      <c r="D53" s="341"/>
      <c r="E53" s="341"/>
      <c r="F53" s="341"/>
      <c r="G53" s="341"/>
      <c r="H53" s="371"/>
      <c r="I53" s="338" t="str">
        <f t="shared" si="0"/>
        <v>SCU</v>
      </c>
      <c r="J53" s="338"/>
      <c r="K53" s="342"/>
      <c r="L53" s="342"/>
      <c r="M53" s="342"/>
      <c r="N53" s="342"/>
      <c r="O53" s="342"/>
      <c r="P53" s="342"/>
      <c r="Q53" s="342"/>
      <c r="R53" s="342"/>
      <c r="S53" s="342"/>
      <c r="T53" s="347"/>
      <c r="U53" s="477"/>
      <c r="AC53" s="127"/>
    </row>
    <row r="54" spans="1:29" x14ac:dyDescent="0.25">
      <c r="A54" s="8" t="s">
        <v>346</v>
      </c>
      <c r="B54" s="8" t="s">
        <v>345</v>
      </c>
      <c r="C54" s="338">
        <v>6.0000000000000001E-3</v>
      </c>
      <c r="D54" s="338">
        <v>1.5E-3</v>
      </c>
      <c r="E54" s="338">
        <v>1.5E-3</v>
      </c>
      <c r="F54" s="338">
        <v>1.5E-3</v>
      </c>
      <c r="G54" s="338">
        <v>1.5E-3</v>
      </c>
      <c r="H54" s="370">
        <v>1.5E-3</v>
      </c>
      <c r="I54" s="338" t="str">
        <f t="shared" si="0"/>
        <v>STG</v>
      </c>
      <c r="J54" s="338"/>
      <c r="K54" s="343">
        <v>5.6899999999999999E-2</v>
      </c>
      <c r="L54" s="343">
        <f>+K54-1.01%</f>
        <v>4.6800000000000001E-2</v>
      </c>
      <c r="M54" s="342"/>
      <c r="N54" s="342" t="s">
        <v>289</v>
      </c>
      <c r="O54" s="342" t="s">
        <v>289</v>
      </c>
      <c r="P54" s="342" t="s">
        <v>289</v>
      </c>
      <c r="Q54" s="342" t="s">
        <v>289</v>
      </c>
      <c r="R54" s="342" t="s">
        <v>289</v>
      </c>
      <c r="S54" s="342" t="s">
        <v>289</v>
      </c>
      <c r="T54" s="346"/>
      <c r="U54" s="477"/>
      <c r="AC54" s="127"/>
    </row>
    <row r="55" spans="1:29" x14ac:dyDescent="0.25">
      <c r="A55" s="8" t="s">
        <v>313</v>
      </c>
      <c r="B55" s="8" t="s">
        <v>360</v>
      </c>
      <c r="C55" s="338">
        <v>6.0000000000000001E-3</v>
      </c>
      <c r="D55" s="338">
        <v>1.5E-3</v>
      </c>
      <c r="E55" s="338">
        <v>1.5E-3</v>
      </c>
      <c r="F55" s="338">
        <v>1.5E-3</v>
      </c>
      <c r="G55" s="338">
        <v>1.5E-3</v>
      </c>
      <c r="H55" s="370">
        <v>1.5E-3</v>
      </c>
      <c r="I55" s="338" t="str">
        <f t="shared" si="0"/>
        <v>SUN</v>
      </c>
      <c r="J55" s="338"/>
      <c r="K55" s="343">
        <v>5.5399999999999998E-2</v>
      </c>
      <c r="L55" s="343">
        <f>+K55-0.58%</f>
        <v>4.9599999999999998E-2</v>
      </c>
      <c r="M55" s="342"/>
      <c r="N55" s="342" t="s">
        <v>289</v>
      </c>
      <c r="O55" s="342" t="s">
        <v>289</v>
      </c>
      <c r="P55" s="342" t="s">
        <v>289</v>
      </c>
      <c r="Q55" s="342" t="s">
        <v>289</v>
      </c>
      <c r="R55" s="342" t="s">
        <v>289</v>
      </c>
      <c r="S55" s="342" t="s">
        <v>289</v>
      </c>
      <c r="T55" s="346"/>
      <c r="U55" s="477"/>
      <c r="AC55" s="127"/>
    </row>
    <row r="56" spans="1:29" x14ac:dyDescent="0.25">
      <c r="A56" s="8" t="s">
        <v>324</v>
      </c>
      <c r="B56" s="8" t="s">
        <v>325</v>
      </c>
      <c r="C56" s="338">
        <v>6.0000000000000001E-3</v>
      </c>
      <c r="D56" s="338">
        <v>1.5E-3</v>
      </c>
      <c r="E56" s="338">
        <v>1.5E-3</v>
      </c>
      <c r="F56" s="338">
        <v>1.5E-3</v>
      </c>
      <c r="G56" s="338">
        <v>1.5E-3</v>
      </c>
      <c r="H56" s="370">
        <v>1.5E-3</v>
      </c>
      <c r="I56" s="338" t="str">
        <f t="shared" si="0"/>
        <v>THK</v>
      </c>
      <c r="J56" s="338"/>
      <c r="K56" s="342" t="s">
        <v>289</v>
      </c>
      <c r="L56" s="342" t="s">
        <v>289</v>
      </c>
      <c r="M56" s="342"/>
      <c r="N56" s="342" t="s">
        <v>289</v>
      </c>
      <c r="O56" s="342" t="s">
        <v>289</v>
      </c>
      <c r="P56" s="342" t="s">
        <v>289</v>
      </c>
      <c r="Q56" s="342" t="s">
        <v>289</v>
      </c>
      <c r="R56" s="342" t="s">
        <v>289</v>
      </c>
      <c r="S56" s="342" t="s">
        <v>289</v>
      </c>
      <c r="T56" s="346"/>
      <c r="U56" s="477"/>
    </row>
    <row r="57" spans="1:29" x14ac:dyDescent="0.25">
      <c r="A57" s="8" t="s">
        <v>985</v>
      </c>
      <c r="B57" s="8" t="s">
        <v>872</v>
      </c>
      <c r="C57" s="338"/>
      <c r="D57" s="338"/>
      <c r="E57" s="338"/>
      <c r="F57" s="338"/>
      <c r="G57" s="338"/>
      <c r="H57" s="370"/>
      <c r="I57" s="338" t="str">
        <f t="shared" si="0"/>
        <v>UTI</v>
      </c>
      <c r="J57" s="338"/>
      <c r="K57" s="342"/>
      <c r="L57" s="342"/>
      <c r="M57" s="342"/>
      <c r="N57" s="342"/>
      <c r="O57" s="342"/>
      <c r="P57" s="342"/>
      <c r="Q57" s="342"/>
      <c r="R57" s="342"/>
      <c r="S57" s="342"/>
      <c r="T57" s="346"/>
    </row>
    <row r="58" spans="1:29" x14ac:dyDescent="0.25">
      <c r="A58" s="8" t="s">
        <v>1127</v>
      </c>
      <c r="B58" s="8" t="s">
        <v>1128</v>
      </c>
      <c r="C58" s="338"/>
      <c r="D58" s="338"/>
      <c r="E58" s="338"/>
      <c r="F58" s="338"/>
      <c r="G58" s="338"/>
      <c r="H58" s="370"/>
      <c r="I58" s="338" t="str">
        <f t="shared" si="0"/>
        <v>UNI</v>
      </c>
      <c r="J58" s="338"/>
      <c r="K58" s="342"/>
      <c r="L58" s="342"/>
      <c r="M58" s="342"/>
      <c r="N58" s="342"/>
      <c r="O58" s="342"/>
      <c r="P58" s="342"/>
      <c r="Q58" s="342"/>
      <c r="R58" s="342"/>
      <c r="S58" s="342"/>
      <c r="T58" s="346"/>
    </row>
    <row r="59" spans="1:29" x14ac:dyDescent="0.25">
      <c r="A59" s="8" t="s">
        <v>319</v>
      </c>
      <c r="B59" s="8" t="s">
        <v>1129</v>
      </c>
      <c r="C59" s="341" t="s">
        <v>289</v>
      </c>
      <c r="D59" s="341" t="s">
        <v>289</v>
      </c>
      <c r="E59" s="341" t="s">
        <v>289</v>
      </c>
      <c r="F59" s="341" t="s">
        <v>289</v>
      </c>
      <c r="G59" s="341" t="s">
        <v>289</v>
      </c>
      <c r="H59" s="371" t="s">
        <v>289</v>
      </c>
      <c r="I59" s="338" t="str">
        <f t="shared" si="0"/>
        <v>VRG</v>
      </c>
      <c r="J59" s="338"/>
      <c r="K59" s="342" t="s">
        <v>289</v>
      </c>
      <c r="L59" s="342" t="s">
        <v>289</v>
      </c>
      <c r="M59" s="342"/>
      <c r="N59" s="342" t="s">
        <v>289</v>
      </c>
      <c r="O59" s="342" t="s">
        <v>289</v>
      </c>
      <c r="P59" s="342" t="s">
        <v>289</v>
      </c>
      <c r="Q59" s="342" t="s">
        <v>289</v>
      </c>
      <c r="R59" s="342" t="s">
        <v>289</v>
      </c>
      <c r="S59" s="342" t="s">
        <v>289</v>
      </c>
      <c r="T59" s="347"/>
    </row>
    <row r="60" spans="1:29" x14ac:dyDescent="0.25">
      <c r="A60" s="8" t="s">
        <v>557</v>
      </c>
      <c r="B60" s="8" t="s">
        <v>558</v>
      </c>
      <c r="C60" s="341" t="s">
        <v>289</v>
      </c>
      <c r="D60" s="341" t="s">
        <v>289</v>
      </c>
      <c r="E60" s="341" t="s">
        <v>289</v>
      </c>
      <c r="F60" s="341" t="s">
        <v>289</v>
      </c>
      <c r="G60" s="341" t="s">
        <v>289</v>
      </c>
      <c r="H60" s="371" t="s">
        <v>289</v>
      </c>
      <c r="I60" s="338" t="str">
        <f t="shared" si="0"/>
        <v>VOW</v>
      </c>
      <c r="J60" s="338"/>
      <c r="K60" s="342">
        <f>+K35</f>
        <v>5.5E-2</v>
      </c>
      <c r="L60" s="342">
        <f>+L35</f>
        <v>4.3900000000000002E-2</v>
      </c>
      <c r="M60" s="342">
        <f>++M35</f>
        <v>5.5E-2</v>
      </c>
      <c r="N60" s="342" t="s">
        <v>289</v>
      </c>
      <c r="O60" s="342" t="s">
        <v>289</v>
      </c>
      <c r="P60" s="342" t="s">
        <v>289</v>
      </c>
      <c r="Q60" s="342" t="s">
        <v>289</v>
      </c>
      <c r="R60" s="342" t="s">
        <v>289</v>
      </c>
      <c r="S60" s="342" t="s">
        <v>289</v>
      </c>
      <c r="T60" s="347"/>
    </row>
    <row r="61" spans="1:29" x14ac:dyDescent="0.25">
      <c r="A61" s="8" t="s">
        <v>981</v>
      </c>
      <c r="B61" s="8" t="s">
        <v>982</v>
      </c>
      <c r="C61" s="341"/>
      <c r="D61" s="341"/>
      <c r="E61" s="341"/>
      <c r="F61" s="341"/>
      <c r="G61" s="341"/>
      <c r="H61" s="371"/>
      <c r="I61" s="338" t="str">
        <f t="shared" si="0"/>
        <v>VWF</v>
      </c>
      <c r="J61" s="338"/>
      <c r="K61" s="342"/>
      <c r="L61" s="342"/>
      <c r="M61" s="342"/>
      <c r="N61" s="342"/>
      <c r="O61" s="342"/>
      <c r="P61" s="342"/>
      <c r="Q61" s="342"/>
      <c r="R61" s="342"/>
      <c r="S61" s="342"/>
      <c r="T61" s="347"/>
    </row>
    <row r="62" spans="1:29" x14ac:dyDescent="0.25">
      <c r="A62" s="8" t="s">
        <v>314</v>
      </c>
      <c r="B62" s="8" t="s">
        <v>315</v>
      </c>
      <c r="C62" s="338">
        <v>6.0000000000000001E-3</v>
      </c>
      <c r="D62" s="338">
        <v>1.5E-3</v>
      </c>
      <c r="E62" s="338">
        <v>1.5E-3</v>
      </c>
      <c r="F62" s="338">
        <v>1.5E-3</v>
      </c>
      <c r="G62" s="338">
        <v>1.5E-3</v>
      </c>
      <c r="H62" s="370">
        <v>1.5E-3</v>
      </c>
      <c r="I62" s="338" t="str">
        <f t="shared" si="0"/>
        <v>WBC</v>
      </c>
      <c r="J62" s="338"/>
      <c r="K62" s="343">
        <v>5.6800000000000003E-2</v>
      </c>
      <c r="L62" s="343">
        <f>+K62-0.86%</f>
        <v>4.8200000000000007E-2</v>
      </c>
      <c r="M62" s="342"/>
      <c r="N62" s="342" t="s">
        <v>289</v>
      </c>
      <c r="O62" s="342" t="s">
        <v>289</v>
      </c>
      <c r="P62" s="342" t="s">
        <v>289</v>
      </c>
      <c r="Q62" s="342" t="s">
        <v>289</v>
      </c>
      <c r="R62" s="342" t="s">
        <v>289</v>
      </c>
      <c r="S62" s="342" t="s">
        <v>289</v>
      </c>
      <c r="T62" s="346"/>
    </row>
    <row r="63" spans="1:29" x14ac:dyDescent="0.25">
      <c r="A63" s="8" t="s">
        <v>979</v>
      </c>
      <c r="B63" s="8" t="s">
        <v>980</v>
      </c>
      <c r="I63" s="3" t="str">
        <f t="shared" si="0"/>
        <v>YBR</v>
      </c>
    </row>
    <row r="183" spans="1:20" x14ac:dyDescent="0.25">
      <c r="A183" s="337"/>
      <c r="B183" s="337"/>
      <c r="C183" s="340"/>
      <c r="D183" s="340"/>
      <c r="E183" s="340"/>
      <c r="F183" s="340"/>
      <c r="G183" s="340"/>
      <c r="H183" s="373"/>
      <c r="I183" s="340"/>
      <c r="J183" s="340"/>
      <c r="K183" s="340"/>
      <c r="L183" s="340"/>
      <c r="M183" s="340"/>
      <c r="N183" s="340"/>
      <c r="O183" s="340"/>
      <c r="P183" s="340"/>
      <c r="Q183" s="340"/>
      <c r="R183" s="340"/>
      <c r="S183" s="340"/>
      <c r="T183" s="350"/>
    </row>
  </sheetData>
  <sortState ref="A2:B27">
    <sortCondition ref="A2:A27"/>
  </sortState>
  <mergeCells count="4">
    <mergeCell ref="AE13:AF13"/>
    <mergeCell ref="V19:X19"/>
    <mergeCell ref="V14:X14"/>
    <mergeCell ref="Z28:AA28"/>
  </mergeCells>
  <hyperlinks>
    <hyperlink ref="AF18" r:id="rId1"/>
  </hyperlinks>
  <pageMargins left="0.23622047244094491" right="0.23622047244094491" top="0.74803149606299213" bottom="0.74803149606299213" header="0.31496062992125984" footer="0"/>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P66"/>
  <sheetViews>
    <sheetView showGridLines="0" showRuler="0" view="pageLayout" zoomScaleNormal="100" workbookViewId="0">
      <selection activeCell="Q12" sqref="Q12:AA12"/>
    </sheetView>
  </sheetViews>
  <sheetFormatPr defaultColWidth="3.5703125" defaultRowHeight="18.75" customHeight="1" x14ac:dyDescent="0.25"/>
  <cols>
    <col min="1" max="9" width="3.5703125" style="21"/>
    <col min="10" max="10" width="3.5703125" style="21" customWidth="1"/>
    <col min="11" max="14" width="3.5703125" style="21"/>
    <col min="15" max="15" width="3.5703125" style="23"/>
    <col min="16" max="17" width="3.5703125" style="21"/>
    <col min="18" max="18" width="3.5703125" style="21" customWidth="1"/>
    <col min="19" max="26" width="3.5703125" style="21"/>
    <col min="27" max="27" width="3.5703125" style="21" customWidth="1"/>
    <col min="28" max="28" width="6.5703125" style="123" bestFit="1" customWidth="1"/>
    <col min="29" max="29" width="9.5703125" style="94" customWidth="1"/>
    <col min="30" max="30" width="24.28515625" style="94" customWidth="1"/>
    <col min="31" max="32" width="16" style="94" customWidth="1"/>
    <col min="33" max="33" width="5" style="94" customWidth="1"/>
    <col min="34" max="34" width="5.5703125" style="94" customWidth="1"/>
    <col min="35" max="35" width="11.7109375" style="94" customWidth="1"/>
    <col min="36" max="36" width="5.5703125" style="94" customWidth="1"/>
    <col min="37" max="37" width="11.7109375" style="94" customWidth="1"/>
    <col min="38" max="38" width="5.5703125" style="94" customWidth="1"/>
    <col min="39" max="39" width="11.7109375" style="94" customWidth="1"/>
    <col min="40" max="40" width="5.5703125" style="94" customWidth="1"/>
    <col min="41" max="41" width="11.7109375" style="94" customWidth="1"/>
    <col min="42" max="46" width="3.5703125" style="94"/>
    <col min="47" max="53" width="3.5703125" style="129"/>
    <col min="54" max="54" width="8.5703125" style="129" customWidth="1"/>
    <col min="55" max="55" width="13.5703125" style="129" bestFit="1" customWidth="1"/>
    <col min="56" max="68" width="3.5703125" style="129"/>
    <col min="69" max="16384" width="3.5703125" style="21"/>
  </cols>
  <sheetData>
    <row r="1" spans="1:56" ht="48" customHeight="1" x14ac:dyDescent="0.25">
      <c r="A1" s="732" t="s">
        <v>760</v>
      </c>
      <c r="AC1" s="1813" t="s">
        <v>434</v>
      </c>
      <c r="AD1" s="1813"/>
      <c r="AE1" s="1813"/>
      <c r="AF1" s="1813"/>
      <c r="AG1" s="1813"/>
      <c r="AH1" s="1813"/>
      <c r="AI1" s="1813"/>
      <c r="AJ1" s="1813"/>
      <c r="AK1" s="1813"/>
      <c r="AL1" s="1813"/>
      <c r="AM1" s="1813"/>
      <c r="AN1" s="1813"/>
      <c r="AO1" s="1813"/>
      <c r="AP1" s="1813"/>
      <c r="AQ1" s="1813"/>
      <c r="AR1" s="1813"/>
      <c r="AS1" s="1813"/>
      <c r="AT1" s="1813"/>
      <c r="AU1" s="1813"/>
      <c r="AV1" s="1813"/>
      <c r="AW1" s="1813"/>
      <c r="AX1" s="1813"/>
      <c r="AY1" s="1813"/>
      <c r="AZ1" s="1813"/>
      <c r="BA1" s="1813"/>
      <c r="BB1" s="1813"/>
      <c r="BC1" s="1813"/>
      <c r="BD1" s="1813"/>
    </row>
    <row r="2" spans="1:56" ht="15"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row>
    <row r="3" spans="1:56" ht="18" customHeight="1"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6"/>
      <c r="S3" s="1724" t="s">
        <v>685</v>
      </c>
      <c r="T3" s="1724"/>
      <c r="U3" s="1724"/>
      <c r="V3" s="1727" t="str">
        <f>+Funding!U3</f>
        <v>Purchase - Invest</v>
      </c>
      <c r="W3" s="1727"/>
      <c r="X3" s="1727"/>
      <c r="Y3" s="1727"/>
      <c r="Z3" s="1727"/>
      <c r="AA3" s="1727"/>
    </row>
    <row r="4" spans="1:56" ht="18" customHeight="1" x14ac:dyDescent="0.25">
      <c r="A4" s="686"/>
      <c r="B4" s="1724" t="s">
        <v>670</v>
      </c>
      <c r="C4" s="1724"/>
      <c r="D4" s="1724"/>
      <c r="E4" s="1724"/>
      <c r="F4" s="1724"/>
      <c r="G4" s="687"/>
      <c r="H4" s="1725">
        <f>+Purchase</f>
        <v>0</v>
      </c>
      <c r="I4" s="1725"/>
      <c r="J4" s="1725"/>
      <c r="K4" s="688"/>
      <c r="L4" s="688"/>
      <c r="M4" s="688"/>
      <c r="N4" s="688"/>
      <c r="O4" s="688"/>
      <c r="P4" s="688"/>
      <c r="Q4" s="688"/>
      <c r="R4" s="688"/>
      <c r="S4" s="1724" t="s">
        <v>686</v>
      </c>
      <c r="T4" s="1724"/>
      <c r="U4" s="1724"/>
      <c r="V4" s="1727" t="str">
        <f>+'Bud(LVR)'!V4:Z4</f>
        <v/>
      </c>
      <c r="W4" s="1727"/>
      <c r="X4" s="1727"/>
      <c r="Y4" s="1727"/>
      <c r="Z4" s="1727"/>
      <c r="AA4" s="686"/>
    </row>
    <row r="5" spans="1:56" ht="12" customHeight="1" x14ac:dyDescent="0.25">
      <c r="A5" s="686"/>
      <c r="B5" s="1722"/>
      <c r="C5" s="1722"/>
      <c r="D5" s="1722"/>
      <c r="E5" s="1722"/>
      <c r="F5" s="1722"/>
      <c r="G5" s="1722"/>
      <c r="H5" s="1722"/>
      <c r="I5" s="1722"/>
      <c r="J5" s="1722"/>
      <c r="K5" s="1722"/>
      <c r="L5" s="1722"/>
      <c r="M5" s="1722"/>
      <c r="N5" s="1722"/>
      <c r="O5" s="1722"/>
      <c r="P5" s="1722"/>
      <c r="Q5" s="1722"/>
      <c r="R5" s="1722"/>
      <c r="S5" s="1722"/>
      <c r="T5" s="1722"/>
      <c r="U5" s="1722"/>
      <c r="V5" s="1722"/>
      <c r="W5" s="1722"/>
      <c r="X5" s="1722"/>
      <c r="Y5" s="1722"/>
      <c r="Z5" s="1722"/>
      <c r="AA5" s="686"/>
    </row>
    <row r="6" spans="1:56" ht="18" customHeight="1" x14ac:dyDescent="0.25">
      <c r="A6" s="750"/>
      <c r="B6" s="750"/>
      <c r="C6" s="750"/>
      <c r="D6" s="750"/>
      <c r="E6" s="750"/>
      <c r="F6" s="750"/>
      <c r="G6" s="123"/>
      <c r="H6" s="123"/>
      <c r="I6" s="123"/>
      <c r="J6" s="123"/>
      <c r="K6" s="123"/>
      <c r="L6" s="123"/>
      <c r="M6" s="123"/>
      <c r="N6" s="123"/>
      <c r="O6" s="123"/>
      <c r="P6" s="123"/>
      <c r="Q6" s="123"/>
      <c r="R6" s="123"/>
      <c r="S6" s="123"/>
      <c r="T6" s="123"/>
      <c r="U6" s="123"/>
      <c r="V6" s="123"/>
      <c r="W6" s="123"/>
      <c r="X6" s="123"/>
      <c r="Y6" s="123"/>
      <c r="Z6" s="123"/>
      <c r="AA6" s="123"/>
    </row>
    <row r="7" spans="1:56" ht="18" customHeight="1" x14ac:dyDescent="0.25">
      <c r="A7" s="2095" t="s">
        <v>533</v>
      </c>
      <c r="B7" s="2095"/>
      <c r="C7" s="2095"/>
      <c r="D7" s="2095"/>
      <c r="E7" s="2095"/>
      <c r="F7" s="2128"/>
      <c r="G7" s="2621" t="s">
        <v>428</v>
      </c>
      <c r="H7" s="2588"/>
      <c r="I7" s="2588"/>
      <c r="J7" s="2588"/>
      <c r="K7" s="2622"/>
      <c r="L7" s="23"/>
      <c r="M7" s="23"/>
      <c r="N7" s="23"/>
      <c r="P7" s="23"/>
      <c r="Q7" s="23"/>
      <c r="R7" s="23"/>
      <c r="S7" s="23"/>
      <c r="T7" s="23"/>
      <c r="U7" s="23"/>
      <c r="V7" s="110"/>
      <c r="AD7" s="199" t="s">
        <v>424</v>
      </c>
      <c r="AE7" s="131"/>
      <c r="AF7" s="135"/>
      <c r="AG7" s="135"/>
    </row>
    <row r="8" spans="1:56" ht="18" customHeight="1" x14ac:dyDescent="0.25">
      <c r="A8" s="2095" t="s">
        <v>427</v>
      </c>
      <c r="B8" s="2095"/>
      <c r="C8" s="2095"/>
      <c r="D8" s="2095"/>
      <c r="E8" s="2095"/>
      <c r="F8" s="2128"/>
      <c r="G8" s="2132" t="s">
        <v>306</v>
      </c>
      <c r="H8" s="2133"/>
      <c r="I8" s="2133"/>
      <c r="J8" s="2133"/>
      <c r="K8" s="2134"/>
      <c r="L8" s="747" t="str">
        <f>VLOOKUP(G8,Settings!A3:B131,2)</f>
        <v>Commonwealth Bank</v>
      </c>
      <c r="M8" s="654"/>
      <c r="N8" s="654"/>
      <c r="O8" s="654"/>
      <c r="P8" s="654"/>
      <c r="Q8" s="654"/>
      <c r="R8" s="2595" t="s">
        <v>498</v>
      </c>
      <c r="S8" s="2595"/>
      <c r="T8" s="2594">
        <f>VLOOKUP(G8,Settings!I3:K131,3,FALSE)</f>
        <v>5.6000000000000001E-2</v>
      </c>
      <c r="U8" s="2594"/>
      <c r="V8" s="638"/>
      <c r="W8" s="638"/>
      <c r="X8" s="638"/>
      <c r="Y8" s="638"/>
      <c r="Z8" s="638"/>
      <c r="AA8" s="638"/>
      <c r="AD8" s="202" t="s">
        <v>421</v>
      </c>
      <c r="AE8" s="201" t="e">
        <f>+Funding!X25</f>
        <v>#VALUE!</v>
      </c>
      <c r="AF8" s="206" t="e">
        <f>+AE8-AE11</f>
        <v>#VALUE!</v>
      </c>
      <c r="AG8" s="206"/>
    </row>
    <row r="9" spans="1:56" ht="18" customHeight="1" x14ac:dyDescent="0.2">
      <c r="A9" s="654"/>
      <c r="B9" s="654"/>
      <c r="C9" s="654"/>
      <c r="D9" s="654"/>
      <c r="E9" s="720"/>
      <c r="F9" s="720"/>
      <c r="V9" s="110"/>
      <c r="AG9" s="206"/>
    </row>
    <row r="10" spans="1:56" ht="18" customHeight="1" x14ac:dyDescent="0.25">
      <c r="A10" s="638"/>
      <c r="B10" s="638"/>
      <c r="C10" s="638"/>
      <c r="D10" s="638"/>
      <c r="E10" s="638"/>
      <c r="F10" s="638"/>
      <c r="G10" s="2584" t="s">
        <v>520</v>
      </c>
      <c r="H10" s="2584"/>
      <c r="I10" s="2584"/>
      <c r="J10" s="2584"/>
      <c r="K10" s="2584"/>
      <c r="L10" s="2584" t="s">
        <v>521</v>
      </c>
      <c r="M10" s="2584"/>
      <c r="N10" s="2584"/>
      <c r="O10" s="2584"/>
      <c r="P10" s="2584"/>
      <c r="Q10" s="2584" t="s">
        <v>522</v>
      </c>
      <c r="R10" s="2584"/>
      <c r="S10" s="2584"/>
      <c r="T10" s="2584"/>
      <c r="U10" s="2584"/>
      <c r="V10" s="638"/>
      <c r="W10" s="2584" t="s">
        <v>85</v>
      </c>
      <c r="X10" s="2584"/>
      <c r="Y10" s="2584"/>
      <c r="Z10" s="2584"/>
      <c r="AA10" s="2584"/>
      <c r="AB10" s="750"/>
      <c r="AD10" s="202"/>
      <c r="AE10" s="201"/>
      <c r="AF10" s="206"/>
      <c r="AG10" s="206"/>
    </row>
    <row r="11" spans="1:56" ht="18" customHeight="1" x14ac:dyDescent="0.25">
      <c r="A11" s="2095" t="s">
        <v>582</v>
      </c>
      <c r="B11" s="2095"/>
      <c r="C11" s="2095"/>
      <c r="D11" s="2095"/>
      <c r="E11" s="2095"/>
      <c r="F11" s="2095"/>
      <c r="G11" s="2132" t="str">
        <f>IF(+Funding!P22="",Funding!P25,+Funding!P22)</f>
        <v/>
      </c>
      <c r="H11" s="2133"/>
      <c r="I11" s="2133"/>
      <c r="J11" s="2133"/>
      <c r="K11" s="2134"/>
      <c r="L11" s="2132" t="str">
        <f>IF(+Funding!P23="","",+Funding!P23)</f>
        <v/>
      </c>
      <c r="M11" s="2133"/>
      <c r="N11" s="2133"/>
      <c r="O11" s="2133"/>
      <c r="P11" s="2133"/>
      <c r="Q11" s="2132" t="str">
        <f>IF(+Funding!P24="","",+Funding!P24)</f>
        <v/>
      </c>
      <c r="R11" s="2133"/>
      <c r="S11" s="2133"/>
      <c r="T11" s="2133"/>
      <c r="U11" s="2134"/>
      <c r="V11" s="110"/>
      <c r="W11" s="2610">
        <f>IF(LoanSplit1="","",IF(G7="Loan Splits",SUM(G11:U11),G11))</f>
        <v>0</v>
      </c>
      <c r="X11" s="2611"/>
      <c r="Y11" s="2611"/>
      <c r="Z11" s="2611"/>
      <c r="AA11" s="2612"/>
      <c r="AD11" t="s">
        <v>422</v>
      </c>
      <c r="AE11" s="204">
        <f>+W13</f>
        <v>0</v>
      </c>
      <c r="AF11" s="205" t="s">
        <v>423</v>
      </c>
      <c r="AG11" s="206"/>
    </row>
    <row r="12" spans="1:56" ht="18" customHeight="1" x14ac:dyDescent="0.25">
      <c r="A12" s="2095" t="s">
        <v>212</v>
      </c>
      <c r="B12" s="2095"/>
      <c r="C12" s="2095"/>
      <c r="D12" s="2095"/>
      <c r="E12" s="2095"/>
      <c r="F12" s="2095"/>
      <c r="G12" s="2634" t="str">
        <f>IF(Funding!G25="","",Funding!G25)</f>
        <v/>
      </c>
      <c r="H12" s="2635"/>
      <c r="I12" s="2635"/>
      <c r="J12" s="2635"/>
      <c r="K12" s="2636"/>
      <c r="L12" s="2634"/>
      <c r="M12" s="2635"/>
      <c r="N12" s="2635"/>
      <c r="O12" s="2635"/>
      <c r="P12" s="2635"/>
      <c r="Q12" s="2634"/>
      <c r="R12" s="2635"/>
      <c r="S12" s="2635"/>
      <c r="T12" s="2635"/>
      <c r="U12" s="2636"/>
      <c r="V12" s="110"/>
      <c r="W12" s="2610">
        <f>IF(LoanSplit1="","",IF(G7="Loan Splits",SUM(G12:U12),G12))</f>
        <v>0</v>
      </c>
      <c r="X12" s="2611"/>
      <c r="Y12" s="2611"/>
      <c r="Z12" s="2611"/>
      <c r="AA12" s="2612"/>
      <c r="AD12" s="203"/>
      <c r="AE12" s="204"/>
      <c r="AF12" s="205"/>
      <c r="AG12" s="206"/>
    </row>
    <row r="13" spans="1:56" ht="18" customHeight="1" x14ac:dyDescent="0.25">
      <c r="A13" s="2095" t="s">
        <v>266</v>
      </c>
      <c r="B13" s="2095"/>
      <c r="C13" s="2095"/>
      <c r="D13" s="2095"/>
      <c r="E13" s="2095"/>
      <c r="F13" s="2095"/>
      <c r="G13" s="2628">
        <f>SUM(G11:K12)</f>
        <v>0</v>
      </c>
      <c r="H13" s="2629"/>
      <c r="I13" s="2629"/>
      <c r="J13" s="2629"/>
      <c r="K13" s="2630"/>
      <c r="L13" s="2589" t="str">
        <f>IF(L11="","",+L12+L11)</f>
        <v/>
      </c>
      <c r="M13" s="2590"/>
      <c r="N13" s="2590"/>
      <c r="O13" s="2590"/>
      <c r="P13" s="2591"/>
      <c r="Q13" s="2589" t="str">
        <f>IF(Q11="","",+Q12+Q11)</f>
        <v/>
      </c>
      <c r="R13" s="2590"/>
      <c r="S13" s="2590"/>
      <c r="T13" s="2590"/>
      <c r="U13" s="2591"/>
      <c r="W13" s="2631">
        <f>SUM(W11:AA12)</f>
        <v>0</v>
      </c>
      <c r="X13" s="2632"/>
      <c r="Y13" s="2632"/>
      <c r="Z13" s="2632"/>
      <c r="AA13" s="2633"/>
      <c r="AD13" s="202"/>
      <c r="AE13" s="211"/>
      <c r="AF13" s="212"/>
      <c r="AG13" s="206"/>
    </row>
    <row r="14" spans="1:56" ht="18" customHeight="1" x14ac:dyDescent="0.25">
      <c r="A14" s="2095"/>
      <c r="B14" s="2095"/>
      <c r="C14" s="2095"/>
      <c r="D14" s="2095"/>
      <c r="E14" s="2095"/>
      <c r="F14" s="2095"/>
      <c r="G14" s="2588"/>
      <c r="H14" s="2588"/>
      <c r="I14" s="2588"/>
      <c r="J14" s="2588"/>
      <c r="K14" s="2588"/>
      <c r="L14" s="2588"/>
      <c r="M14" s="2588"/>
      <c r="N14" s="2588"/>
      <c r="O14" s="2588"/>
      <c r="P14" s="2588"/>
      <c r="Q14" s="2588"/>
      <c r="R14" s="2588"/>
      <c r="S14" s="2588"/>
      <c r="T14" s="2588"/>
      <c r="U14" s="2588"/>
      <c r="V14" s="123"/>
      <c r="W14" s="123"/>
      <c r="X14" s="123"/>
      <c r="Y14" s="123"/>
      <c r="Z14" s="123"/>
      <c r="AA14" s="123"/>
      <c r="AD14" s="202"/>
      <c r="AE14" s="222" t="s">
        <v>271</v>
      </c>
      <c r="AF14" s="222" t="s">
        <v>272</v>
      </c>
      <c r="AG14" s="206"/>
    </row>
    <row r="15" spans="1:56" ht="18" customHeight="1" x14ac:dyDescent="0.25">
      <c r="A15" s="2095" t="s">
        <v>497</v>
      </c>
      <c r="B15" s="2095"/>
      <c r="C15" s="2095"/>
      <c r="D15" s="2095"/>
      <c r="E15" s="2095"/>
      <c r="F15" s="2095"/>
      <c r="G15" s="2606">
        <f>+Funding!AO22</f>
        <v>0</v>
      </c>
      <c r="H15" s="2607"/>
      <c r="I15" s="2607"/>
      <c r="J15" s="2592" t="str">
        <f>IF(G15="","","yrs")</f>
        <v>yrs</v>
      </c>
      <c r="K15" s="2593"/>
      <c r="L15" s="2606">
        <f>+Funding!AO23</f>
        <v>0</v>
      </c>
      <c r="M15" s="2607"/>
      <c r="N15" s="2607"/>
      <c r="O15" s="2592" t="str">
        <f>IF(L15="","","yrs")</f>
        <v>yrs</v>
      </c>
      <c r="P15" s="2592"/>
      <c r="Q15" s="2606">
        <f>+Funding!AO24</f>
        <v>0</v>
      </c>
      <c r="R15" s="2607"/>
      <c r="S15" s="2607"/>
      <c r="T15" s="2592" t="str">
        <f>IF(Q15="","","yrs")</f>
        <v>yrs</v>
      </c>
      <c r="U15" s="2593"/>
      <c r="V15" s="110"/>
      <c r="W15" s="2616" t="str">
        <f>IF(G7="Loan Splits","Number of Splits","Comparisons")</f>
        <v>Number of Splits</v>
      </c>
      <c r="X15" s="2617"/>
      <c r="Y15" s="2617"/>
      <c r="Z15" s="2617"/>
      <c r="AA15" s="2618"/>
      <c r="AD15" s="395" t="s">
        <v>591</v>
      </c>
      <c r="AE15" s="388" t="e">
        <f>#REF!</f>
        <v>#REF!</v>
      </c>
      <c r="AF15" s="388" t="e">
        <f>+#REF!</f>
        <v>#REF!</v>
      </c>
      <c r="AG15" s="206"/>
    </row>
    <row r="16" spans="1:56" ht="18" customHeight="1" x14ac:dyDescent="0.25">
      <c r="A16" s="2095" t="s">
        <v>284</v>
      </c>
      <c r="B16" s="2095"/>
      <c r="C16" s="2095"/>
      <c r="D16" s="2095"/>
      <c r="E16" s="2095"/>
      <c r="F16" s="2095"/>
      <c r="G16" s="2606">
        <f>Funding!AK22</f>
        <v>0</v>
      </c>
      <c r="H16" s="2607"/>
      <c r="I16" s="2607"/>
      <c r="J16" s="2592" t="str">
        <f>IF(G18="Int Only","yrs","")</f>
        <v>yrs</v>
      </c>
      <c r="K16" s="2593"/>
      <c r="L16" s="2606">
        <f>+Funding!AK23</f>
        <v>0</v>
      </c>
      <c r="M16" s="2607"/>
      <c r="N16" s="2607"/>
      <c r="O16" s="2592" t="str">
        <f>IF(L16="","","yrs")</f>
        <v>yrs</v>
      </c>
      <c r="P16" s="2592"/>
      <c r="Q16" s="2606">
        <f>+Funding!AK24</f>
        <v>0</v>
      </c>
      <c r="R16" s="2607"/>
      <c r="S16" s="2607"/>
      <c r="T16" s="2592" t="str">
        <f>IF(Q16="","","yrs")</f>
        <v>yrs</v>
      </c>
      <c r="U16" s="2593"/>
      <c r="V16" s="110"/>
      <c r="W16" s="2603">
        <f>COUNT(G13:U13)</f>
        <v>1</v>
      </c>
      <c r="X16" s="2604"/>
      <c r="Y16" s="2604"/>
      <c r="Z16" s="2604"/>
      <c r="AA16" s="2605"/>
      <c r="AB16" s="110"/>
      <c r="AD16" s="395" t="s">
        <v>592</v>
      </c>
      <c r="AE16" s="388" t="str">
        <f>+Profile!BK7</f>
        <v/>
      </c>
      <c r="AF16" s="388" t="str">
        <f>+Profile!BL7</f>
        <v/>
      </c>
      <c r="AG16" s="206"/>
    </row>
    <row r="17" spans="1:41" ht="18" customHeight="1" x14ac:dyDescent="0.25">
      <c r="A17" s="2095" t="s">
        <v>495</v>
      </c>
      <c r="B17" s="2095"/>
      <c r="C17" s="2095"/>
      <c r="D17" s="2095"/>
      <c r="E17" s="2095"/>
      <c r="F17" s="2095"/>
      <c r="G17" s="2606">
        <f>+Funding!AG22</f>
        <v>0</v>
      </c>
      <c r="H17" s="2607"/>
      <c r="I17" s="2607"/>
      <c r="J17" s="2592" t="str">
        <f>IF(G17="","","yrs")</f>
        <v>yrs</v>
      </c>
      <c r="K17" s="2593"/>
      <c r="L17" s="2606">
        <f>+Funding!AG23</f>
        <v>0</v>
      </c>
      <c r="M17" s="2607"/>
      <c r="N17" s="2607"/>
      <c r="O17" s="2592" t="str">
        <f>IF(L17="","","yrs")</f>
        <v>yrs</v>
      </c>
      <c r="P17" s="2592"/>
      <c r="Q17" s="2606">
        <f>+Funding!AG24</f>
        <v>0</v>
      </c>
      <c r="R17" s="2607"/>
      <c r="S17" s="2607"/>
      <c r="T17" s="2592" t="str">
        <f>IF(Q17="","","yrs")</f>
        <v>yrs</v>
      </c>
      <c r="U17" s="2593"/>
      <c r="V17" s="110"/>
      <c r="W17" s="2613"/>
      <c r="X17" s="2614"/>
      <c r="Y17" s="2614"/>
      <c r="Z17" s="2614"/>
      <c r="AA17" s="2615"/>
      <c r="AD17" s="395" t="s">
        <v>601</v>
      </c>
      <c r="AE17" s="417">
        <f>+Profile!M7</f>
        <v>0</v>
      </c>
      <c r="AF17" s="417">
        <f>+Profile!X7</f>
        <v>0</v>
      </c>
      <c r="AG17" s="206"/>
    </row>
    <row r="18" spans="1:41" ht="18" customHeight="1" x14ac:dyDescent="0.25">
      <c r="A18" s="2095" t="s">
        <v>496</v>
      </c>
      <c r="B18" s="2095"/>
      <c r="C18" s="2095"/>
      <c r="D18" s="2095"/>
      <c r="E18" s="2095"/>
      <c r="F18" s="2095"/>
      <c r="G18" s="2579" t="str">
        <f>IF(G13="","",IF(G16="","P&amp;I","Int Only"))</f>
        <v>Int Only</v>
      </c>
      <c r="H18" s="2580"/>
      <c r="I18" s="2580"/>
      <c r="J18" s="2580"/>
      <c r="K18" s="2581"/>
      <c r="L18" s="2579" t="str">
        <f>IF(L13="","",IF(L16="","P&amp;I","Int Only"))</f>
        <v/>
      </c>
      <c r="M18" s="2580"/>
      <c r="N18" s="2580"/>
      <c r="O18" s="2580"/>
      <c r="P18" s="2581"/>
      <c r="Q18" s="2579" t="str">
        <f>IF(Q13="","",IF(Q16="","P&amp;I","Int Only"))</f>
        <v/>
      </c>
      <c r="R18" s="2580"/>
      <c r="S18" s="2580"/>
      <c r="T18" s="2580"/>
      <c r="U18" s="2581"/>
      <c r="V18" s="110"/>
      <c r="AD18" s="395" t="s">
        <v>588</v>
      </c>
      <c r="AE18" s="388" t="str">
        <f>+Profile!J16</f>
        <v>No</v>
      </c>
      <c r="AF18" s="388" t="str">
        <f>+Profile!U16</f>
        <v>No</v>
      </c>
      <c r="AG18" s="206"/>
      <c r="AH18" s="2585" t="s">
        <v>594</v>
      </c>
      <c r="AI18" s="2585"/>
      <c r="AJ18" s="2585"/>
      <c r="AK18" s="2585"/>
      <c r="AL18" s="2585"/>
      <c r="AM18" s="2585"/>
      <c r="AN18" s="2585"/>
      <c r="AO18" s="2585"/>
    </row>
    <row r="19" spans="1:41" ht="18" customHeight="1" x14ac:dyDescent="0.25">
      <c r="A19" s="2095" t="s">
        <v>565</v>
      </c>
      <c r="B19" s="2095"/>
      <c r="C19" s="2095"/>
      <c r="D19" s="2095"/>
      <c r="E19" s="2095"/>
      <c r="F19" s="2095"/>
      <c r="G19" s="2579" t="str">
        <f>IF(G17="","Variable","Fixed")</f>
        <v>Fixed</v>
      </c>
      <c r="H19" s="2580"/>
      <c r="I19" s="2580"/>
      <c r="J19" s="2580"/>
      <c r="K19" s="2581"/>
      <c r="L19" s="2579" t="str">
        <f>IF(L17="","Variable","Fixed")</f>
        <v>Fixed</v>
      </c>
      <c r="M19" s="2580"/>
      <c r="N19" s="2580"/>
      <c r="O19" s="2580"/>
      <c r="P19" s="2581"/>
      <c r="Q19" s="2579" t="str">
        <f>IF(Q17="","Variable","Fixed")</f>
        <v>Fixed</v>
      </c>
      <c r="R19" s="2580"/>
      <c r="S19" s="2580"/>
      <c r="T19" s="2580"/>
      <c r="U19" s="2581"/>
      <c r="V19" s="110"/>
      <c r="AD19" s="202"/>
      <c r="AG19" s="206"/>
      <c r="AH19" s="2585"/>
      <c r="AI19" s="2585"/>
      <c r="AJ19" s="2585"/>
      <c r="AK19" s="2585"/>
      <c r="AL19" s="2585"/>
      <c r="AM19" s="2585"/>
      <c r="AN19" s="2585"/>
      <c r="AO19" s="2585"/>
    </row>
    <row r="20" spans="1:41" ht="18" customHeight="1" x14ac:dyDescent="0.25">
      <c r="A20" s="2095" t="s">
        <v>364</v>
      </c>
      <c r="B20" s="2095"/>
      <c r="C20" s="2095"/>
      <c r="D20" s="2095"/>
      <c r="E20" s="2095"/>
      <c r="F20" s="2095"/>
      <c r="G20" s="2132" t="str">
        <f>IF(Funding!AM22=1,"Investment","Personal")</f>
        <v>Personal</v>
      </c>
      <c r="H20" s="2133"/>
      <c r="I20" s="2133"/>
      <c r="J20" s="2133"/>
      <c r="K20" s="2134"/>
      <c r="L20" s="2132" t="str">
        <f>IF(Funding!AM23=1,"Investment","Personal")</f>
        <v>Personal</v>
      </c>
      <c r="M20" s="2133"/>
      <c r="N20" s="2133"/>
      <c r="O20" s="2133"/>
      <c r="P20" s="2133"/>
      <c r="Q20" s="2132" t="str">
        <f>IF(Funding!AM24=1,"Investment","Personal")</f>
        <v>Personal</v>
      </c>
      <c r="R20" s="2133"/>
      <c r="S20" s="2133"/>
      <c r="T20" s="2133"/>
      <c r="U20" s="2134"/>
      <c r="V20" s="110"/>
      <c r="AD20" s="418" t="s">
        <v>600</v>
      </c>
      <c r="AE20" s="416">
        <f>ROUNDUP(+W13/5000,0)*0.05*100000</f>
        <v>0</v>
      </c>
      <c r="AF20" s="416">
        <f>+AE20</f>
        <v>0</v>
      </c>
      <c r="AG20" s="206"/>
      <c r="AH20" s="397" t="s">
        <v>595</v>
      </c>
      <c r="AI20" s="396"/>
      <c r="AJ20" s="396"/>
      <c r="AK20" s="396"/>
      <c r="AL20" s="396"/>
      <c r="AM20" s="396"/>
      <c r="AN20" s="396"/>
      <c r="AO20" s="396"/>
    </row>
    <row r="21" spans="1:41" ht="18" customHeight="1" x14ac:dyDescent="0.25">
      <c r="A21" s="2095"/>
      <c r="B21" s="2095"/>
      <c r="C21" s="2095"/>
      <c r="D21" s="2095"/>
      <c r="E21" s="2095"/>
      <c r="F21" s="2095"/>
      <c r="G21" s="2588"/>
      <c r="H21" s="2588"/>
      <c r="I21" s="2588"/>
      <c r="J21" s="2588"/>
      <c r="K21" s="2588"/>
      <c r="L21" s="2588"/>
      <c r="M21" s="2588"/>
      <c r="N21" s="2588"/>
      <c r="O21" s="2588"/>
      <c r="P21" s="2588"/>
      <c r="Q21" s="2588"/>
      <c r="R21" s="2588"/>
      <c r="S21" s="2588"/>
      <c r="T21" s="2588"/>
      <c r="U21" s="2588"/>
      <c r="V21" s="110"/>
      <c r="W21" s="110"/>
      <c r="X21" s="110"/>
      <c r="Y21" s="110"/>
      <c r="Z21" s="110"/>
      <c r="AA21" s="110"/>
      <c r="AD21" s="418" t="s">
        <v>593</v>
      </c>
      <c r="AE21" s="420" t="str">
        <f>IF(AE16&gt;=60,"Too Old",IF(AE18="No",AE25,AE27))</f>
        <v>Too Old</v>
      </c>
      <c r="AF21" s="416" t="str">
        <f>IF(AF16&gt;=60,"Too Old",IF(AF18="No",AF25,AF27))</f>
        <v>Too Old</v>
      </c>
      <c r="AG21" s="206"/>
      <c r="AH21" s="397" t="s">
        <v>596</v>
      </c>
      <c r="AI21" s="396"/>
      <c r="AJ21" s="396"/>
      <c r="AK21" s="396"/>
      <c r="AL21" s="396"/>
      <c r="AM21" s="396"/>
      <c r="AN21" s="396"/>
      <c r="AO21" s="396"/>
    </row>
    <row r="22" spans="1:41" ht="18" customHeight="1" x14ac:dyDescent="0.25">
      <c r="A22" s="2095" t="s">
        <v>523</v>
      </c>
      <c r="B22" s="2095"/>
      <c r="C22" s="2095"/>
      <c r="D22" s="2095"/>
      <c r="E22" s="2095"/>
      <c r="F22" s="2128"/>
      <c r="G22" s="2623" t="str">
        <f>IF(Funding!AF22=1,Funding!AP22,"")</f>
        <v/>
      </c>
      <c r="H22" s="2624"/>
      <c r="I22" s="2624"/>
      <c r="J22" s="2624"/>
      <c r="K22" s="2625"/>
      <c r="L22" s="2623" t="str">
        <f>IF(Funding!AF23=1,Funding!AP22,"")</f>
        <v/>
      </c>
      <c r="M22" s="2624"/>
      <c r="N22" s="2624"/>
      <c r="O22" s="2624"/>
      <c r="P22" s="2625"/>
      <c r="Q22" s="2623" t="str">
        <f>IF(Funding!AF24=1,Funding!AP22,"")</f>
        <v/>
      </c>
      <c r="R22" s="2624"/>
      <c r="S22" s="2624"/>
      <c r="T22" s="2624"/>
      <c r="U22" s="2625"/>
      <c r="V22" s="110"/>
      <c r="W22" s="352"/>
      <c r="X22" s="352"/>
      <c r="Y22" s="110"/>
      <c r="Z22" s="110"/>
      <c r="AA22" s="110"/>
      <c r="AD22" s="395"/>
      <c r="AE22" s="415"/>
      <c r="AF22" s="415"/>
      <c r="AG22" s="206"/>
      <c r="AH22" s="2582" t="s">
        <v>599</v>
      </c>
      <c r="AI22" s="2582"/>
      <c r="AJ22" s="2582"/>
      <c r="AK22" s="2582"/>
      <c r="AL22" s="2582"/>
      <c r="AM22" s="2582"/>
      <c r="AN22" s="2582"/>
      <c r="AO22" s="2583"/>
    </row>
    <row r="23" spans="1:41" ht="18" customHeight="1" x14ac:dyDescent="0.25">
      <c r="A23" s="2095" t="s">
        <v>524</v>
      </c>
      <c r="B23" s="2095"/>
      <c r="C23" s="2095"/>
      <c r="D23" s="2095"/>
      <c r="E23" s="2095"/>
      <c r="F23" s="2095"/>
      <c r="G23" s="2623">
        <f>+Funding!E30</f>
        <v>0.04</v>
      </c>
      <c r="H23" s="2624"/>
      <c r="I23" s="2624"/>
      <c r="J23" s="2624"/>
      <c r="K23" s="2625"/>
      <c r="L23" s="2623" t="str">
        <f>IF(L11="","",+G23)</f>
        <v/>
      </c>
      <c r="M23" s="2624"/>
      <c r="N23" s="2624"/>
      <c r="O23" s="2624"/>
      <c r="P23" s="2625"/>
      <c r="Q23" s="2623" t="str">
        <f>IF(Q11="","",+G23)</f>
        <v/>
      </c>
      <c r="R23" s="2624"/>
      <c r="S23" s="2624"/>
      <c r="T23" s="2624"/>
      <c r="U23" s="2625"/>
      <c r="V23" s="110"/>
      <c r="W23" s="352"/>
      <c r="X23" s="352"/>
      <c r="Y23" s="110"/>
      <c r="Z23" s="110"/>
      <c r="AA23" s="110"/>
      <c r="AD23" s="395"/>
      <c r="AE23" s="415"/>
      <c r="AF23" s="415"/>
      <c r="AG23" s="206"/>
      <c r="AH23" s="2586" t="s">
        <v>598</v>
      </c>
      <c r="AI23" s="2586"/>
      <c r="AJ23" s="2586"/>
      <c r="AK23" s="2586"/>
      <c r="AL23" s="2586" t="s">
        <v>587</v>
      </c>
      <c r="AM23" s="2586"/>
      <c r="AN23" s="2586"/>
      <c r="AO23" s="2587"/>
    </row>
    <row r="24" spans="1:41" ht="18" customHeight="1" x14ac:dyDescent="0.25">
      <c r="A24" s="751"/>
      <c r="B24" s="751"/>
      <c r="C24" s="751"/>
      <c r="D24" s="751"/>
      <c r="E24" s="751"/>
      <c r="F24" s="751"/>
      <c r="G24" s="352"/>
      <c r="H24" s="352"/>
      <c r="I24" s="352"/>
      <c r="J24" s="352"/>
      <c r="K24" s="352"/>
      <c r="L24" s="352"/>
      <c r="M24" s="352"/>
      <c r="N24" s="352"/>
      <c r="O24" s="352"/>
      <c r="P24" s="352"/>
      <c r="Q24" s="352"/>
      <c r="R24" s="352"/>
      <c r="S24" s="352"/>
      <c r="T24" s="352"/>
      <c r="U24" s="352"/>
      <c r="V24" s="352"/>
      <c r="W24" s="352"/>
      <c r="X24" s="352"/>
      <c r="Y24" s="110"/>
      <c r="Z24" s="110"/>
      <c r="AA24" s="110"/>
      <c r="AD24" s="395" t="s">
        <v>603</v>
      </c>
      <c r="AE24" s="94" t="e">
        <f>IF(AE17="Male",+LOOKUP(AE16,AH25:AI66),+LOOKUP(AE16,AJ25:AK66))</f>
        <v>#N/A</v>
      </c>
      <c r="AF24" s="94" t="e">
        <f>IF(AF17="Male",+LOOKUP(AF16,AH25:AI66),+LOOKUP(AF16,AJ25:AK66))</f>
        <v>#N/A</v>
      </c>
      <c r="AG24" s="206"/>
      <c r="AH24" s="398" t="s">
        <v>597</v>
      </c>
      <c r="AI24" s="408" t="s">
        <v>129</v>
      </c>
      <c r="AJ24" s="409" t="str">
        <f>+AH24</f>
        <v>Current age</v>
      </c>
      <c r="AK24" s="409" t="s">
        <v>130</v>
      </c>
      <c r="AL24" s="409" t="str">
        <f>+AJ24</f>
        <v>Current age</v>
      </c>
      <c r="AM24" s="408" t="s">
        <v>129</v>
      </c>
      <c r="AN24" s="409" t="str">
        <f>+AL24</f>
        <v>Current age</v>
      </c>
      <c r="AO24" s="410" t="s">
        <v>130</v>
      </c>
    </row>
    <row r="25" spans="1:41" ht="18" customHeight="1" x14ac:dyDescent="0.25">
      <c r="A25" s="2095" t="s">
        <v>499</v>
      </c>
      <c r="B25" s="2095"/>
      <c r="C25" s="2095"/>
      <c r="D25" s="2095"/>
      <c r="E25" s="2095"/>
      <c r="F25" s="2095"/>
      <c r="G25" s="2608">
        <f>+$T$8-G23</f>
        <v>1.6E-2</v>
      </c>
      <c r="H25" s="2609"/>
      <c r="I25" s="2619" t="s">
        <v>500</v>
      </c>
      <c r="J25" s="2619"/>
      <c r="K25" s="2620"/>
      <c r="L25" s="2608" t="e">
        <f>+$T$8-L23</f>
        <v>#VALUE!</v>
      </c>
      <c r="M25" s="2609"/>
      <c r="N25" s="2619" t="str">
        <f>IF(L13="","","Discount")</f>
        <v/>
      </c>
      <c r="O25" s="2619"/>
      <c r="P25" s="2619"/>
      <c r="Q25" s="2608" t="e">
        <f>+$T$8-Q23</f>
        <v>#VALUE!</v>
      </c>
      <c r="R25" s="2609"/>
      <c r="S25" s="2619" t="str">
        <f>IF(L13="","","Discount")</f>
        <v/>
      </c>
      <c r="T25" s="2619"/>
      <c r="U25" s="2620"/>
      <c r="V25" s="110"/>
      <c r="W25" s="352"/>
      <c r="X25" s="352"/>
      <c r="Y25" s="110"/>
      <c r="Z25" s="110"/>
      <c r="AA25" s="110"/>
      <c r="AD25" s="394" t="s">
        <v>602</v>
      </c>
      <c r="AE25" s="419" t="e">
        <f>(+AE24*AE20/100000)+5</f>
        <v>#N/A</v>
      </c>
      <c r="AF25" s="419" t="e">
        <f>(+AF24*AF20/100000)+5</f>
        <v>#N/A</v>
      </c>
      <c r="AG25" s="206"/>
      <c r="AH25" s="411">
        <v>18</v>
      </c>
      <c r="AI25" s="412">
        <v>12.74</v>
      </c>
      <c r="AJ25" s="411">
        <f>+AH25</f>
        <v>18</v>
      </c>
      <c r="AK25" s="413">
        <v>8.83</v>
      </c>
      <c r="AL25" s="411">
        <f>+AJ25</f>
        <v>18</v>
      </c>
      <c r="AM25" s="412">
        <v>19.97</v>
      </c>
      <c r="AN25" s="411">
        <f>+AL25</f>
        <v>18</v>
      </c>
      <c r="AO25" s="414">
        <v>12.11</v>
      </c>
    </row>
    <row r="26" spans="1:41" ht="18" customHeight="1" x14ac:dyDescent="0.25">
      <c r="A26" s="731"/>
      <c r="B26" s="731"/>
      <c r="C26" s="731"/>
      <c r="D26" s="731"/>
      <c r="E26" s="731"/>
      <c r="F26" s="731"/>
      <c r="G26" s="351"/>
      <c r="H26" s="351"/>
      <c r="I26" s="351"/>
      <c r="J26" s="351"/>
      <c r="K26" s="351"/>
      <c r="L26" s="351"/>
      <c r="M26" s="351"/>
      <c r="N26" s="351"/>
      <c r="O26" s="351"/>
      <c r="P26" s="351"/>
      <c r="Q26" s="351"/>
      <c r="R26" s="351"/>
      <c r="S26" s="351"/>
      <c r="T26" s="351"/>
      <c r="U26" s="351"/>
      <c r="V26" s="351"/>
      <c r="W26" s="2578" t="s">
        <v>31</v>
      </c>
      <c r="X26" s="2578"/>
      <c r="Y26" s="2578"/>
      <c r="Z26" s="2578"/>
      <c r="AA26" s="2578"/>
      <c r="AD26" s="395" t="s">
        <v>603</v>
      </c>
      <c r="AE26" s="94" t="e">
        <f>IF(AE17="Male",+LOOKUP(AE16,AL25:AM66),+LOOKUP(AE16,AN25:AO66))</f>
        <v>#N/A</v>
      </c>
      <c r="AF26" s="94" t="e">
        <f>IF(AF20="Male",+LOOKUP(AF16,AL25:AM67),+LOOKUP(AF16,AN25:AO66))</f>
        <v>#N/A</v>
      </c>
      <c r="AG26" s="206"/>
      <c r="AH26" s="399">
        <v>19</v>
      </c>
      <c r="AI26" s="400">
        <v>12.74</v>
      </c>
      <c r="AJ26" s="399">
        <f>+AH26</f>
        <v>19</v>
      </c>
      <c r="AK26" s="401">
        <v>8.83</v>
      </c>
      <c r="AL26" s="399">
        <f>+AJ26</f>
        <v>19</v>
      </c>
      <c r="AM26" s="400">
        <v>19.97</v>
      </c>
      <c r="AN26" s="399">
        <f>+AL26</f>
        <v>19</v>
      </c>
      <c r="AO26" s="402">
        <v>12.11</v>
      </c>
    </row>
    <row r="27" spans="1:41" ht="18" customHeight="1" x14ac:dyDescent="0.25">
      <c r="A27" s="2095" t="s">
        <v>525</v>
      </c>
      <c r="B27" s="2095"/>
      <c r="C27" s="2095"/>
      <c r="D27" s="2095"/>
      <c r="E27" s="2095"/>
      <c r="F27" s="2095"/>
      <c r="G27" s="2626" t="e">
        <f>+LoanCalcs!F8</f>
        <v>#NUM!</v>
      </c>
      <c r="H27" s="2627"/>
      <c r="I27" s="2627"/>
      <c r="J27" s="2599" t="str">
        <f>CONCATENATE(LoanCalcs!D8," ",+LoanCalcs!E8)</f>
        <v>VAR P&amp;I</v>
      </c>
      <c r="K27" s="2600"/>
      <c r="L27" s="2626" t="e">
        <f>+LoanCalcs!S8</f>
        <v>#VALUE!</v>
      </c>
      <c r="M27" s="2627"/>
      <c r="N27" s="2627"/>
      <c r="O27" s="2599" t="str">
        <f>CONCATENATE(LoanCalcs!Q8," ",+LoanCalcs!R8)</f>
        <v>VAR P&amp;I</v>
      </c>
      <c r="P27" s="2600"/>
      <c r="Q27" s="2626" t="e">
        <f>+LoanCalcs!AF8</f>
        <v>#VALUE!</v>
      </c>
      <c r="R27" s="2627"/>
      <c r="S27" s="2627"/>
      <c r="T27" s="2599" t="str">
        <f>CONCATENATE(LoanCalcs!AD8," ",+LoanCalcs!AE8)</f>
        <v>VAR P&amp;I</v>
      </c>
      <c r="U27" s="2600"/>
      <c r="V27" s="110"/>
      <c r="W27" s="2579" t="e">
        <f>+Q27+L27+G27</f>
        <v>#VALUE!</v>
      </c>
      <c r="X27" s="2580"/>
      <c r="Y27" s="2580"/>
      <c r="Z27" s="2580"/>
      <c r="AA27" s="2581"/>
      <c r="AD27" s="394" t="s">
        <v>602</v>
      </c>
      <c r="AE27" s="419" t="e">
        <f>(+AE26*AE20/100000)+5</f>
        <v>#N/A</v>
      </c>
      <c r="AF27" s="419" t="e">
        <f>(+AF26*AF20/100000)+5</f>
        <v>#N/A</v>
      </c>
      <c r="AG27" s="206"/>
      <c r="AH27" s="403">
        <v>21</v>
      </c>
      <c r="AI27" s="404">
        <v>12.89</v>
      </c>
      <c r="AJ27" s="411">
        <f t="shared" ref="AJ27:AN66" si="0">+AH27</f>
        <v>21</v>
      </c>
      <c r="AK27" s="405">
        <v>8.98</v>
      </c>
      <c r="AL27" s="411">
        <f t="shared" si="0"/>
        <v>21</v>
      </c>
      <c r="AM27" s="404">
        <v>20.239999999999998</v>
      </c>
      <c r="AN27" s="411">
        <f t="shared" si="0"/>
        <v>21</v>
      </c>
      <c r="AO27" s="406">
        <v>12.33</v>
      </c>
    </row>
    <row r="28" spans="1:41" ht="18" customHeight="1" x14ac:dyDescent="0.25">
      <c r="A28" s="2095" t="s">
        <v>526</v>
      </c>
      <c r="B28" s="2095"/>
      <c r="C28" s="2095"/>
      <c r="D28" s="2095"/>
      <c r="E28" s="2095"/>
      <c r="F28" s="2095"/>
      <c r="G28" s="2601" t="e">
        <f>+LoanCalcs!F9</f>
        <v>#NUM!</v>
      </c>
      <c r="H28" s="2602"/>
      <c r="I28" s="2602"/>
      <c r="J28" s="2599" t="str">
        <f>CONCATENATE(LoanCalcs!D9," ",+LoanCalcs!E9)</f>
        <v>VAR P&amp;I</v>
      </c>
      <c r="K28" s="2600"/>
      <c r="L28" s="2601" t="e">
        <f>+LoanCalcs!S9</f>
        <v>#VALUE!</v>
      </c>
      <c r="M28" s="2602"/>
      <c r="N28" s="2602"/>
      <c r="O28" s="2599" t="str">
        <f>CONCATENATE(LoanCalcs!Q9," ",+LoanCalcs!R9)</f>
        <v>VAR P&amp;I</v>
      </c>
      <c r="P28" s="2600"/>
      <c r="Q28" s="2601" t="e">
        <f>+LoanCalcs!AF9</f>
        <v>#VALUE!</v>
      </c>
      <c r="R28" s="2602"/>
      <c r="S28" s="2602"/>
      <c r="T28" s="2599" t="str">
        <f>CONCATENATE(LoanCalcs!AD9," ",+LoanCalcs!AE9)</f>
        <v>VAR P&amp;I</v>
      </c>
      <c r="U28" s="2600"/>
      <c r="V28" s="110"/>
      <c r="W28" s="2578" t="s">
        <v>589</v>
      </c>
      <c r="X28" s="2578"/>
      <c r="Y28" s="2578"/>
      <c r="Z28" s="2578"/>
      <c r="AA28" s="2578"/>
      <c r="AD28" s="129"/>
      <c r="AE28" s="129"/>
      <c r="AF28" s="129"/>
      <c r="AG28" s="206"/>
      <c r="AH28" s="399">
        <v>22</v>
      </c>
      <c r="AI28" s="400">
        <v>13.04</v>
      </c>
      <c r="AJ28" s="399">
        <f t="shared" si="0"/>
        <v>22</v>
      </c>
      <c r="AK28" s="401">
        <v>9.15</v>
      </c>
      <c r="AL28" s="399">
        <f t="shared" si="0"/>
        <v>22</v>
      </c>
      <c r="AM28" s="400">
        <v>20.54</v>
      </c>
      <c r="AN28" s="399">
        <f t="shared" si="0"/>
        <v>22</v>
      </c>
      <c r="AO28" s="402">
        <v>12.56</v>
      </c>
    </row>
    <row r="29" spans="1:41" ht="18" customHeight="1" x14ac:dyDescent="0.25">
      <c r="A29" s="2095" t="s">
        <v>527</v>
      </c>
      <c r="B29" s="2095"/>
      <c r="C29" s="2095"/>
      <c r="D29" s="2095"/>
      <c r="E29" s="2095"/>
      <c r="F29" s="2095"/>
      <c r="G29" s="2601" t="e">
        <f>+LoanCalcs!F10</f>
        <v>#NUM!</v>
      </c>
      <c r="H29" s="2602"/>
      <c r="I29" s="2602"/>
      <c r="J29" s="2599" t="str">
        <f>CONCATENATE(LoanCalcs!D10," ",+LoanCalcs!E10)</f>
        <v>VAR P&amp;I</v>
      </c>
      <c r="K29" s="2600"/>
      <c r="L29" s="2601" t="e">
        <f>+LoanCalcs!S10</f>
        <v>#VALUE!</v>
      </c>
      <c r="M29" s="2602"/>
      <c r="N29" s="2602"/>
      <c r="O29" s="2599" t="str">
        <f>CONCATENATE(LoanCalcs!Q10," ",+LoanCalcs!R10)</f>
        <v>VAR P&amp;I</v>
      </c>
      <c r="P29" s="2600"/>
      <c r="Q29" s="2601" t="e">
        <f>+LoanCalcs!AF10</f>
        <v>#VALUE!</v>
      </c>
      <c r="R29" s="2602"/>
      <c r="S29" s="2602"/>
      <c r="T29" s="2599" t="str">
        <f>CONCATENATE(LoanCalcs!AD10," ",+LoanCalcs!AE10)</f>
        <v>VAR P&amp;I</v>
      </c>
      <c r="U29" s="2600"/>
      <c r="V29" s="110"/>
      <c r="W29" s="2579">
        <f>+SUM(AE21:AF21)</f>
        <v>0</v>
      </c>
      <c r="X29" s="2580"/>
      <c r="Y29" s="2580"/>
      <c r="Z29" s="2580"/>
      <c r="AA29" s="2581"/>
      <c r="AE29" s="226"/>
      <c r="AF29" s="227"/>
      <c r="AG29" s="206"/>
      <c r="AH29" s="403">
        <v>23</v>
      </c>
      <c r="AI29" s="404">
        <v>13.22</v>
      </c>
      <c r="AJ29" s="411">
        <f t="shared" si="0"/>
        <v>23</v>
      </c>
      <c r="AK29" s="405">
        <v>9.33</v>
      </c>
      <c r="AL29" s="411">
        <f t="shared" si="0"/>
        <v>23</v>
      </c>
      <c r="AM29" s="404">
        <v>20.84</v>
      </c>
      <c r="AN29" s="411">
        <f t="shared" si="0"/>
        <v>23</v>
      </c>
      <c r="AO29" s="406">
        <v>12.81</v>
      </c>
    </row>
    <row r="30" spans="1:41" ht="18" customHeight="1" x14ac:dyDescent="0.25">
      <c r="A30" s="2095" t="s">
        <v>528</v>
      </c>
      <c r="B30" s="2095"/>
      <c r="C30" s="2095"/>
      <c r="D30" s="2095"/>
      <c r="E30" s="2095"/>
      <c r="F30" s="2095"/>
      <c r="G30" s="2601" t="e">
        <f>+LoanCalcs!F11</f>
        <v>#NUM!</v>
      </c>
      <c r="H30" s="2602"/>
      <c r="I30" s="2602"/>
      <c r="J30" s="2599" t="str">
        <f>CONCATENATE(LoanCalcs!D11," ",+LoanCalcs!E11)</f>
        <v>VAR P&amp;I</v>
      </c>
      <c r="K30" s="2600"/>
      <c r="L30" s="2601" t="e">
        <f>+LoanCalcs!S11</f>
        <v>#VALUE!</v>
      </c>
      <c r="M30" s="2602"/>
      <c r="N30" s="2602"/>
      <c r="O30" s="2599" t="str">
        <f>CONCATENATE(LoanCalcs!Q11," ",+LoanCalcs!R11)</f>
        <v>VAR P&amp;I</v>
      </c>
      <c r="P30" s="2600"/>
      <c r="Q30" s="2601" t="e">
        <f>+LoanCalcs!AF11</f>
        <v>#VALUE!</v>
      </c>
      <c r="R30" s="2602"/>
      <c r="S30" s="2602"/>
      <c r="T30" s="2599" t="str">
        <f>CONCATENATE(LoanCalcs!AD11," ",+LoanCalcs!AE11)</f>
        <v>VAR P&amp;I</v>
      </c>
      <c r="U30" s="2600"/>
      <c r="V30" s="110"/>
      <c r="W30" s="352"/>
      <c r="X30" s="352"/>
      <c r="Y30" s="352"/>
      <c r="Z30" s="352"/>
      <c r="AA30" s="352"/>
      <c r="AE30" s="226"/>
      <c r="AF30" s="227"/>
      <c r="AG30" s="206"/>
      <c r="AH30" s="407">
        <v>24</v>
      </c>
      <c r="AI30" s="400">
        <v>13.39</v>
      </c>
      <c r="AJ30" s="399">
        <f t="shared" si="0"/>
        <v>24</v>
      </c>
      <c r="AK30" s="401">
        <v>9.5</v>
      </c>
      <c r="AL30" s="399">
        <f t="shared" si="0"/>
        <v>24</v>
      </c>
      <c r="AM30" s="400">
        <v>21.17</v>
      </c>
      <c r="AN30" s="399">
        <f t="shared" si="0"/>
        <v>24</v>
      </c>
      <c r="AO30" s="402">
        <v>13.11</v>
      </c>
    </row>
    <row r="31" spans="1:41" ht="18" customHeight="1" x14ac:dyDescent="0.25">
      <c r="A31" s="2095" t="s">
        <v>529</v>
      </c>
      <c r="B31" s="2095"/>
      <c r="C31" s="2095"/>
      <c r="D31" s="2095"/>
      <c r="E31" s="2095"/>
      <c r="F31" s="2095"/>
      <c r="G31" s="2601" t="e">
        <f>+LoanCalcs!F12</f>
        <v>#NUM!</v>
      </c>
      <c r="H31" s="2602"/>
      <c r="I31" s="2602"/>
      <c r="J31" s="2599" t="str">
        <f>CONCATENATE(LoanCalcs!D12," ",+LoanCalcs!E12)</f>
        <v>VAR P&amp;I</v>
      </c>
      <c r="K31" s="2600"/>
      <c r="L31" s="2601" t="e">
        <f>+LoanCalcs!S12</f>
        <v>#VALUE!</v>
      </c>
      <c r="M31" s="2602"/>
      <c r="N31" s="2602"/>
      <c r="O31" s="2599" t="str">
        <f>CONCATENATE(LoanCalcs!Q12," ",+LoanCalcs!R12)</f>
        <v>VAR P&amp;I</v>
      </c>
      <c r="P31" s="2600"/>
      <c r="Q31" s="2601" t="e">
        <f>+LoanCalcs!AF12</f>
        <v>#VALUE!</v>
      </c>
      <c r="R31" s="2602"/>
      <c r="S31" s="2602"/>
      <c r="T31" s="2599" t="str">
        <f>CONCATENATE(LoanCalcs!AD12," ",+LoanCalcs!AE12)</f>
        <v>VAR P&amp;I</v>
      </c>
      <c r="U31" s="2600"/>
      <c r="V31" s="110"/>
      <c r="W31" s="2578" t="s">
        <v>590</v>
      </c>
      <c r="X31" s="2578"/>
      <c r="Y31" s="2578"/>
      <c r="Z31" s="2578"/>
      <c r="AA31" s="2578"/>
      <c r="AE31" s="226"/>
      <c r="AF31" s="227"/>
      <c r="AG31" s="206"/>
      <c r="AH31" s="403">
        <v>25</v>
      </c>
      <c r="AI31" s="404">
        <v>13.59</v>
      </c>
      <c r="AJ31" s="411">
        <f t="shared" si="0"/>
        <v>25</v>
      </c>
      <c r="AK31" s="405">
        <v>9.7799999999999994</v>
      </c>
      <c r="AL31" s="411">
        <f t="shared" si="0"/>
        <v>25</v>
      </c>
      <c r="AM31" s="404">
        <v>21.54</v>
      </c>
      <c r="AN31" s="411">
        <f t="shared" si="0"/>
        <v>25</v>
      </c>
      <c r="AO31" s="406">
        <v>13.48</v>
      </c>
    </row>
    <row r="32" spans="1:41" ht="18" customHeight="1" x14ac:dyDescent="0.25">
      <c r="A32" s="2095" t="s">
        <v>530</v>
      </c>
      <c r="B32" s="2095"/>
      <c r="C32" s="2095"/>
      <c r="D32" s="2095"/>
      <c r="E32" s="2095"/>
      <c r="F32" s="2095"/>
      <c r="G32" s="2601" t="e">
        <f>+LoanCalcs!F13</f>
        <v>#NUM!</v>
      </c>
      <c r="H32" s="2602"/>
      <c r="I32" s="2602"/>
      <c r="J32" s="2599" t="str">
        <f>CONCATENATE(LoanCalcs!D13," ",+LoanCalcs!E13)</f>
        <v>VAR P&amp;I</v>
      </c>
      <c r="K32" s="2600"/>
      <c r="L32" s="2601" t="e">
        <f>+LoanCalcs!S13</f>
        <v>#VALUE!</v>
      </c>
      <c r="M32" s="2602"/>
      <c r="N32" s="2602"/>
      <c r="O32" s="2599" t="str">
        <f>CONCATENATE(LoanCalcs!Q13," ",+LoanCalcs!R13)</f>
        <v>VAR P&amp;I</v>
      </c>
      <c r="P32" s="2600"/>
      <c r="Q32" s="2601" t="e">
        <f>+LoanCalcs!AF13</f>
        <v>#VALUE!</v>
      </c>
      <c r="R32" s="2602"/>
      <c r="S32" s="2602"/>
      <c r="T32" s="2599" t="str">
        <f>CONCATENATE(LoanCalcs!AD13," ",+LoanCalcs!AE13)</f>
        <v>VAR P&amp;I</v>
      </c>
      <c r="U32" s="2600"/>
      <c r="V32" s="110"/>
      <c r="W32" s="2579" t="e">
        <f>+W27+W29</f>
        <v>#VALUE!</v>
      </c>
      <c r="X32" s="2580"/>
      <c r="Y32" s="2580"/>
      <c r="Z32" s="2580"/>
      <c r="AA32" s="2581"/>
      <c r="AE32" s="226"/>
      <c r="AF32" s="227"/>
      <c r="AG32" s="206"/>
      <c r="AH32" s="407">
        <v>26</v>
      </c>
      <c r="AI32" s="400">
        <v>13.79</v>
      </c>
      <c r="AJ32" s="399">
        <f t="shared" si="0"/>
        <v>26</v>
      </c>
      <c r="AK32" s="401">
        <v>10.050000000000001</v>
      </c>
      <c r="AL32" s="399">
        <f t="shared" si="0"/>
        <v>26</v>
      </c>
      <c r="AM32" s="400">
        <v>21.94</v>
      </c>
      <c r="AN32" s="399">
        <f t="shared" si="0"/>
        <v>26</v>
      </c>
      <c r="AO32" s="402">
        <v>13.93</v>
      </c>
    </row>
    <row r="33" spans="1:41" ht="18" customHeight="1" x14ac:dyDescent="0.25">
      <c r="A33" s="2095" t="s">
        <v>566</v>
      </c>
      <c r="B33" s="2095"/>
      <c r="C33" s="2095"/>
      <c r="D33" s="2095"/>
      <c r="E33" s="2095"/>
      <c r="F33" s="2095"/>
      <c r="G33" s="2601" t="e">
        <f>+LoanCalcs!F14</f>
        <v>#NUM!</v>
      </c>
      <c r="H33" s="2602"/>
      <c r="I33" s="2602"/>
      <c r="J33" s="2599" t="str">
        <f>CONCATENATE(LoanCalcs!D14," ",+LoanCalcs!E14)</f>
        <v>VAR P&amp;I</v>
      </c>
      <c r="K33" s="2600"/>
      <c r="L33" s="2601" t="e">
        <f>+LoanCalcs!S14</f>
        <v>#VALUE!</v>
      </c>
      <c r="M33" s="2602"/>
      <c r="N33" s="2602"/>
      <c r="O33" s="2599" t="str">
        <f>CONCATENATE(LoanCalcs!Q14," ",+LoanCalcs!R14)</f>
        <v>VAR P&amp;I</v>
      </c>
      <c r="P33" s="2600"/>
      <c r="Q33" s="2601" t="e">
        <f>+LoanCalcs!AF14</f>
        <v>#VALUE!</v>
      </c>
      <c r="R33" s="2602"/>
      <c r="S33" s="2602"/>
      <c r="T33" s="2599" t="str">
        <f>CONCATENATE(LoanCalcs!AD14," ",+LoanCalcs!AE14)</f>
        <v>VAR P&amp;I</v>
      </c>
      <c r="U33" s="2600"/>
      <c r="V33" s="110"/>
      <c r="W33" s="352"/>
      <c r="X33" s="352"/>
      <c r="Y33" s="352"/>
      <c r="Z33" s="352"/>
      <c r="AA33" s="352"/>
      <c r="AE33" s="226"/>
      <c r="AF33" s="227"/>
      <c r="AG33" s="206"/>
      <c r="AH33" s="403">
        <v>27</v>
      </c>
      <c r="AI33" s="404">
        <v>14.02</v>
      </c>
      <c r="AJ33" s="411">
        <f t="shared" si="0"/>
        <v>27</v>
      </c>
      <c r="AK33" s="405">
        <v>10.35</v>
      </c>
      <c r="AL33" s="411">
        <f t="shared" si="0"/>
        <v>27</v>
      </c>
      <c r="AM33" s="404">
        <v>22.39</v>
      </c>
      <c r="AN33" s="411">
        <f t="shared" si="0"/>
        <v>27</v>
      </c>
      <c r="AO33" s="406">
        <v>14.41</v>
      </c>
    </row>
    <row r="34" spans="1:41" ht="18" customHeight="1" x14ac:dyDescent="0.25">
      <c r="A34" s="2095" t="s">
        <v>567</v>
      </c>
      <c r="B34" s="2095"/>
      <c r="C34" s="2095"/>
      <c r="D34" s="2095"/>
      <c r="E34" s="2095"/>
      <c r="F34" s="2095"/>
      <c r="G34" s="2601" t="e">
        <f>+LoanCalcs!F15</f>
        <v>#NUM!</v>
      </c>
      <c r="H34" s="2602"/>
      <c r="I34" s="2602"/>
      <c r="J34" s="2599" t="str">
        <f>CONCATENATE(LoanCalcs!D15," ",+LoanCalcs!E15)</f>
        <v>VAR P&amp;I</v>
      </c>
      <c r="K34" s="2600"/>
      <c r="L34" s="2601" t="e">
        <f>+LoanCalcs!S15</f>
        <v>#VALUE!</v>
      </c>
      <c r="M34" s="2602"/>
      <c r="N34" s="2602"/>
      <c r="O34" s="2599" t="str">
        <f>CONCATENATE(LoanCalcs!Q15," ",+LoanCalcs!R15)</f>
        <v>VAR P&amp;I</v>
      </c>
      <c r="P34" s="2600"/>
      <c r="Q34" s="2601" t="e">
        <f>+LoanCalcs!AF15</f>
        <v>#VALUE!</v>
      </c>
      <c r="R34" s="2602"/>
      <c r="S34" s="2602"/>
      <c r="T34" s="2599" t="str">
        <f>CONCATENATE(LoanCalcs!AD15," ",+LoanCalcs!AE15)</f>
        <v>VAR P&amp;I</v>
      </c>
      <c r="U34" s="2600"/>
      <c r="V34" s="110"/>
      <c r="W34" s="352"/>
      <c r="X34" s="352"/>
      <c r="Y34" s="352"/>
      <c r="Z34" s="352"/>
      <c r="AA34" s="352"/>
      <c r="AE34" s="226"/>
      <c r="AF34" s="227"/>
      <c r="AG34" s="206"/>
      <c r="AH34" s="407">
        <v>28</v>
      </c>
      <c r="AI34" s="400">
        <v>14.24</v>
      </c>
      <c r="AJ34" s="399">
        <f t="shared" si="0"/>
        <v>28</v>
      </c>
      <c r="AK34" s="401">
        <v>10.68</v>
      </c>
      <c r="AL34" s="399">
        <f t="shared" si="0"/>
        <v>28</v>
      </c>
      <c r="AM34" s="400">
        <v>22.89</v>
      </c>
      <c r="AN34" s="399">
        <f t="shared" si="0"/>
        <v>28</v>
      </c>
      <c r="AO34" s="402">
        <v>14.93</v>
      </c>
    </row>
    <row r="35" spans="1:41" ht="18" customHeight="1" x14ac:dyDescent="0.25">
      <c r="A35" s="2095" t="s">
        <v>568</v>
      </c>
      <c r="B35" s="2095"/>
      <c r="C35" s="2095"/>
      <c r="D35" s="2095"/>
      <c r="E35" s="2095"/>
      <c r="F35" s="2095"/>
      <c r="G35" s="2601" t="e">
        <f>+LoanCalcs!F16</f>
        <v>#NUM!</v>
      </c>
      <c r="H35" s="2602"/>
      <c r="I35" s="2602"/>
      <c r="J35" s="2599" t="str">
        <f>CONCATENATE(LoanCalcs!D16," ",+LoanCalcs!E16)</f>
        <v>VAR P&amp;I</v>
      </c>
      <c r="K35" s="2600"/>
      <c r="L35" s="2601" t="e">
        <f>+LoanCalcs!S16</f>
        <v>#VALUE!</v>
      </c>
      <c r="M35" s="2602"/>
      <c r="N35" s="2602"/>
      <c r="O35" s="2599" t="str">
        <f>CONCATENATE(LoanCalcs!Q16," ",+LoanCalcs!R16)</f>
        <v>VAR P&amp;I</v>
      </c>
      <c r="P35" s="2600"/>
      <c r="Q35" s="2601" t="e">
        <f>+LoanCalcs!AF16</f>
        <v>#VALUE!</v>
      </c>
      <c r="R35" s="2602"/>
      <c r="S35" s="2602"/>
      <c r="T35" s="2599" t="str">
        <f>CONCATENATE(LoanCalcs!AD16," ",+LoanCalcs!AE16)</f>
        <v>VAR P&amp;I</v>
      </c>
      <c r="U35" s="2600"/>
      <c r="V35" s="110"/>
      <c r="W35" s="352"/>
      <c r="X35" s="352"/>
      <c r="Y35" s="352"/>
      <c r="Z35" s="352"/>
      <c r="AA35" s="352"/>
      <c r="AE35" s="226"/>
      <c r="AF35" s="227"/>
      <c r="AG35" s="206"/>
      <c r="AH35" s="403">
        <v>29</v>
      </c>
      <c r="AI35" s="404">
        <v>14.49</v>
      </c>
      <c r="AJ35" s="411">
        <f t="shared" si="0"/>
        <v>29</v>
      </c>
      <c r="AK35" s="405">
        <v>11</v>
      </c>
      <c r="AL35" s="411">
        <f t="shared" si="0"/>
        <v>29</v>
      </c>
      <c r="AM35" s="404">
        <v>23.47</v>
      </c>
      <c r="AN35" s="411">
        <f t="shared" si="0"/>
        <v>29</v>
      </c>
      <c r="AO35" s="406">
        <v>15.48</v>
      </c>
    </row>
    <row r="36" spans="1:41" ht="18" customHeight="1" x14ac:dyDescent="0.25">
      <c r="A36" s="2095" t="s">
        <v>569</v>
      </c>
      <c r="B36" s="2095"/>
      <c r="C36" s="2095"/>
      <c r="D36" s="2095"/>
      <c r="E36" s="2095"/>
      <c r="F36" s="2095"/>
      <c r="G36" s="2601" t="e">
        <f>+LoanCalcs!F17</f>
        <v>#NUM!</v>
      </c>
      <c r="H36" s="2602"/>
      <c r="I36" s="2602"/>
      <c r="J36" s="2599" t="str">
        <f>CONCATENATE(LoanCalcs!D17," ",+LoanCalcs!E17)</f>
        <v>VAR P&amp;I</v>
      </c>
      <c r="K36" s="2600"/>
      <c r="L36" s="2601" t="e">
        <f>+LoanCalcs!S17</f>
        <v>#VALUE!</v>
      </c>
      <c r="M36" s="2602"/>
      <c r="N36" s="2602"/>
      <c r="O36" s="2599" t="str">
        <f>CONCATENATE(LoanCalcs!Q17," ",+LoanCalcs!R17)</f>
        <v>VAR P&amp;I</v>
      </c>
      <c r="P36" s="2600"/>
      <c r="Q36" s="2601" t="e">
        <f>+LoanCalcs!AF17</f>
        <v>#VALUE!</v>
      </c>
      <c r="R36" s="2602"/>
      <c r="S36" s="2602"/>
      <c r="T36" s="2599" t="str">
        <f>CONCATENATE(LoanCalcs!AD17," ",+LoanCalcs!AE17)</f>
        <v>VAR P&amp;I</v>
      </c>
      <c r="U36" s="2600"/>
      <c r="V36" s="110"/>
      <c r="W36" s="352"/>
      <c r="X36" s="352"/>
      <c r="Y36" s="352"/>
      <c r="Z36" s="352"/>
      <c r="AA36" s="352"/>
      <c r="AE36" s="226"/>
      <c r="AF36" s="227"/>
      <c r="AG36" s="206"/>
      <c r="AH36" s="407">
        <v>30</v>
      </c>
      <c r="AI36" s="400">
        <v>14.74</v>
      </c>
      <c r="AJ36" s="399">
        <f t="shared" si="0"/>
        <v>30</v>
      </c>
      <c r="AK36" s="401">
        <v>11.38</v>
      </c>
      <c r="AL36" s="399">
        <f t="shared" si="0"/>
        <v>30</v>
      </c>
      <c r="AM36" s="400">
        <v>24.09</v>
      </c>
      <c r="AN36" s="399">
        <f t="shared" si="0"/>
        <v>30</v>
      </c>
      <c r="AO36" s="402">
        <v>16.13</v>
      </c>
    </row>
    <row r="37" spans="1:41" ht="18" customHeight="1" x14ac:dyDescent="0.25">
      <c r="A37" s="638"/>
      <c r="B37" s="638"/>
      <c r="C37" s="638"/>
      <c r="D37" s="638"/>
      <c r="E37" s="638"/>
      <c r="F37" s="638"/>
      <c r="G37" s="2637"/>
      <c r="H37" s="2637"/>
      <c r="I37" s="2637"/>
      <c r="J37" s="2637"/>
      <c r="K37" s="2637"/>
      <c r="L37" s="2637"/>
      <c r="M37" s="2637"/>
      <c r="N37" s="2637"/>
      <c r="O37" s="2637"/>
      <c r="P37" s="2637"/>
      <c r="Q37" s="2637"/>
      <c r="R37" s="2637"/>
      <c r="S37" s="2637"/>
      <c r="T37" s="2637"/>
      <c r="U37" s="2637"/>
      <c r="V37" s="110"/>
      <c r="W37" s="352"/>
      <c r="X37" s="352"/>
      <c r="Y37" s="352"/>
      <c r="Z37" s="352"/>
      <c r="AA37" s="352"/>
      <c r="AG37" s="206"/>
      <c r="AH37" s="403">
        <v>31</v>
      </c>
      <c r="AI37" s="404">
        <v>15.02</v>
      </c>
      <c r="AJ37" s="411">
        <f t="shared" si="0"/>
        <v>31</v>
      </c>
      <c r="AK37" s="405">
        <v>11.7</v>
      </c>
      <c r="AL37" s="411">
        <f t="shared" si="0"/>
        <v>31</v>
      </c>
      <c r="AM37" s="404">
        <v>24.79</v>
      </c>
      <c r="AN37" s="411">
        <f t="shared" si="0"/>
        <v>31</v>
      </c>
      <c r="AO37" s="406">
        <v>16.73</v>
      </c>
    </row>
    <row r="38" spans="1:41" ht="18.75" customHeight="1" x14ac:dyDescent="0.25">
      <c r="A38" s="2095" t="s">
        <v>285</v>
      </c>
      <c r="B38" s="2095"/>
      <c r="C38" s="2095"/>
      <c r="D38" s="2095"/>
      <c r="E38" s="2095"/>
      <c r="F38" s="2095"/>
      <c r="G38" s="2382">
        <v>200</v>
      </c>
      <c r="H38" s="2383"/>
      <c r="I38" s="315"/>
      <c r="J38" s="314"/>
      <c r="K38" s="314"/>
      <c r="L38" s="2382"/>
      <c r="M38" s="2383"/>
      <c r="N38" s="315"/>
      <c r="O38" s="314"/>
      <c r="P38" s="316"/>
      <c r="Q38" s="2383"/>
      <c r="R38" s="2383"/>
      <c r="S38" s="315"/>
      <c r="T38" s="314"/>
      <c r="U38" s="316"/>
      <c r="V38" s="110"/>
      <c r="W38" s="352"/>
      <c r="X38" s="352"/>
      <c r="Y38" s="352"/>
      <c r="Z38" s="352"/>
      <c r="AA38" s="352"/>
      <c r="AG38" s="206"/>
      <c r="AH38" s="407">
        <v>32</v>
      </c>
      <c r="AI38" s="400">
        <v>15.32</v>
      </c>
      <c r="AJ38" s="399">
        <f t="shared" si="0"/>
        <v>32</v>
      </c>
      <c r="AK38" s="401">
        <v>12.03</v>
      </c>
      <c r="AL38" s="399">
        <f t="shared" si="0"/>
        <v>32</v>
      </c>
      <c r="AM38" s="400">
        <v>25.52</v>
      </c>
      <c r="AN38" s="399">
        <f t="shared" si="0"/>
        <v>32</v>
      </c>
      <c r="AO38" s="402">
        <v>17.329999999999998</v>
      </c>
    </row>
    <row r="39" spans="1:41" ht="18.75" customHeight="1" x14ac:dyDescent="0.25">
      <c r="A39" s="2095" t="s">
        <v>286</v>
      </c>
      <c r="B39" s="2095"/>
      <c r="C39" s="2095"/>
      <c r="D39" s="2095"/>
      <c r="E39" s="2095"/>
      <c r="F39" s="2095"/>
      <c r="G39" s="2382"/>
      <c r="H39" s="2383"/>
      <c r="I39" s="314" t="s">
        <v>378</v>
      </c>
      <c r="J39" s="314"/>
      <c r="K39" s="314"/>
      <c r="L39" s="2382"/>
      <c r="M39" s="2383"/>
      <c r="N39" s="314" t="s">
        <v>378</v>
      </c>
      <c r="O39" s="314"/>
      <c r="P39" s="316"/>
      <c r="Q39" s="2383"/>
      <c r="R39" s="2383"/>
      <c r="S39" s="314" t="s">
        <v>378</v>
      </c>
      <c r="T39" s="314"/>
      <c r="U39" s="316"/>
      <c r="V39" s="110"/>
      <c r="W39" s="352"/>
      <c r="X39" s="352"/>
      <c r="Y39" s="352"/>
      <c r="Z39" s="352"/>
      <c r="AA39" s="352"/>
      <c r="AH39" s="403">
        <v>33</v>
      </c>
      <c r="AI39" s="404">
        <v>15.72</v>
      </c>
      <c r="AJ39" s="411">
        <f t="shared" si="0"/>
        <v>33</v>
      </c>
      <c r="AK39" s="405">
        <v>12.43</v>
      </c>
      <c r="AL39" s="411">
        <f t="shared" si="0"/>
        <v>33</v>
      </c>
      <c r="AM39" s="404">
        <v>26.42</v>
      </c>
      <c r="AN39" s="411">
        <f t="shared" si="0"/>
        <v>33</v>
      </c>
      <c r="AO39" s="406">
        <v>18.010000000000002</v>
      </c>
    </row>
    <row r="40" spans="1:41" ht="18.75" customHeight="1" x14ac:dyDescent="0.25">
      <c r="A40" s="2095" t="s">
        <v>554</v>
      </c>
      <c r="B40" s="2095"/>
      <c r="C40" s="2095"/>
      <c r="D40" s="2095"/>
      <c r="E40" s="2095"/>
      <c r="F40" s="2095"/>
      <c r="G40" s="2596" t="e">
        <f>+LoanCalcs!M37</f>
        <v>#NUM!</v>
      </c>
      <c r="H40" s="2597"/>
      <c r="I40" s="2597"/>
      <c r="J40" s="2597"/>
      <c r="K40" s="2598"/>
      <c r="L40" s="2596" t="e">
        <f>+LoanCalcs!Z37</f>
        <v>#VALUE!</v>
      </c>
      <c r="M40" s="2597"/>
      <c r="N40" s="2597"/>
      <c r="O40" s="2597"/>
      <c r="P40" s="2598"/>
      <c r="Q40" s="2596" t="e">
        <f>+LoanCalcs!AM37</f>
        <v>#VALUE!</v>
      </c>
      <c r="R40" s="2597"/>
      <c r="S40" s="2597"/>
      <c r="T40" s="2597"/>
      <c r="U40" s="2598"/>
      <c r="V40" s="110"/>
      <c r="W40" s="352"/>
      <c r="X40" s="352"/>
      <c r="Y40" s="352"/>
      <c r="Z40" s="352"/>
      <c r="AA40" s="352"/>
      <c r="AH40" s="407">
        <v>34</v>
      </c>
      <c r="AI40" s="400">
        <v>16.239999999999998</v>
      </c>
      <c r="AJ40" s="399">
        <f t="shared" si="0"/>
        <v>34</v>
      </c>
      <c r="AK40" s="401">
        <v>13.01</v>
      </c>
      <c r="AL40" s="399">
        <f t="shared" si="0"/>
        <v>34</v>
      </c>
      <c r="AM40" s="400">
        <v>27.57</v>
      </c>
      <c r="AN40" s="399">
        <f t="shared" si="0"/>
        <v>34</v>
      </c>
      <c r="AO40" s="402">
        <v>18.88</v>
      </c>
    </row>
    <row r="41" spans="1:41" ht="18.75" customHeight="1" x14ac:dyDescent="0.25">
      <c r="A41" s="752"/>
      <c r="B41" s="752"/>
      <c r="C41" s="752"/>
      <c r="D41" s="752"/>
      <c r="E41" s="752"/>
      <c r="F41" s="752"/>
      <c r="G41" s="110"/>
      <c r="H41" s="110"/>
      <c r="I41" s="110"/>
      <c r="J41" s="110"/>
      <c r="K41" s="110"/>
      <c r="L41" s="110"/>
      <c r="M41" s="110"/>
      <c r="N41" s="110"/>
      <c r="O41" s="110"/>
      <c r="P41" s="110"/>
      <c r="Q41" s="110"/>
      <c r="R41" s="110"/>
      <c r="S41" s="110"/>
      <c r="T41" s="110"/>
      <c r="U41" s="110"/>
      <c r="V41" s="110"/>
      <c r="W41" s="110"/>
      <c r="X41" s="110"/>
      <c r="Y41" s="110"/>
      <c r="Z41" s="110"/>
      <c r="AH41" s="403">
        <v>35</v>
      </c>
      <c r="AI41" s="404">
        <v>16.72</v>
      </c>
      <c r="AJ41" s="411">
        <f t="shared" si="0"/>
        <v>35</v>
      </c>
      <c r="AK41" s="405">
        <v>13.98</v>
      </c>
      <c r="AL41" s="411">
        <f t="shared" si="0"/>
        <v>35</v>
      </c>
      <c r="AM41" s="404">
        <v>29.03</v>
      </c>
      <c r="AN41" s="411">
        <f t="shared" si="0"/>
        <v>35</v>
      </c>
      <c r="AO41" s="406">
        <v>20.420000000000002</v>
      </c>
    </row>
    <row r="42" spans="1:41" ht="18.75" customHeight="1" x14ac:dyDescent="0.25">
      <c r="A42" s="638"/>
      <c r="B42" s="638"/>
      <c r="C42" s="638"/>
      <c r="D42" s="638"/>
      <c r="E42" s="638"/>
      <c r="F42" s="638"/>
      <c r="AH42" s="407">
        <v>36</v>
      </c>
      <c r="AI42" s="400">
        <v>17.190000000000001</v>
      </c>
      <c r="AJ42" s="399">
        <f t="shared" si="0"/>
        <v>36</v>
      </c>
      <c r="AK42" s="401">
        <v>14.83</v>
      </c>
      <c r="AL42" s="399">
        <f t="shared" si="0"/>
        <v>36</v>
      </c>
      <c r="AM42" s="400">
        <v>30.67</v>
      </c>
      <c r="AN42" s="399">
        <f t="shared" si="0"/>
        <v>36</v>
      </c>
      <c r="AO42" s="402">
        <v>21.98</v>
      </c>
    </row>
    <row r="43" spans="1:41" ht="18.75" customHeight="1" x14ac:dyDescent="0.25">
      <c r="A43" s="638"/>
      <c r="B43" s="638"/>
      <c r="C43" s="638"/>
      <c r="D43" s="638"/>
      <c r="E43" s="638"/>
      <c r="F43" s="638"/>
      <c r="AH43" s="403">
        <v>37</v>
      </c>
      <c r="AI43" s="404">
        <v>17.670000000000002</v>
      </c>
      <c r="AJ43" s="411">
        <f t="shared" si="0"/>
        <v>37</v>
      </c>
      <c r="AK43" s="405">
        <v>15.78</v>
      </c>
      <c r="AL43" s="411">
        <f t="shared" si="0"/>
        <v>37</v>
      </c>
      <c r="AM43" s="404">
        <v>32.630000000000003</v>
      </c>
      <c r="AN43" s="411">
        <f t="shared" si="0"/>
        <v>37</v>
      </c>
      <c r="AO43" s="406">
        <v>23.58</v>
      </c>
    </row>
    <row r="44" spans="1:41" ht="18.75" customHeight="1" x14ac:dyDescent="0.25">
      <c r="AH44" s="407">
        <v>38</v>
      </c>
      <c r="AI44" s="400">
        <v>18.649999999999999</v>
      </c>
      <c r="AJ44" s="399">
        <f t="shared" si="0"/>
        <v>38</v>
      </c>
      <c r="AK44" s="401">
        <v>16.82</v>
      </c>
      <c r="AL44" s="399">
        <f t="shared" si="0"/>
        <v>38</v>
      </c>
      <c r="AM44" s="400">
        <v>34.99</v>
      </c>
      <c r="AN44" s="399">
        <f t="shared" si="0"/>
        <v>38</v>
      </c>
      <c r="AO44" s="402">
        <v>25.43</v>
      </c>
    </row>
    <row r="45" spans="1:41" ht="18.75" customHeight="1" x14ac:dyDescent="0.25">
      <c r="AH45" s="403">
        <v>39</v>
      </c>
      <c r="AI45" s="404">
        <v>19.89</v>
      </c>
      <c r="AJ45" s="411">
        <f t="shared" si="0"/>
        <v>39</v>
      </c>
      <c r="AK45" s="405">
        <v>18.04</v>
      </c>
      <c r="AL45" s="411">
        <f t="shared" si="0"/>
        <v>39</v>
      </c>
      <c r="AM45" s="404">
        <v>37.950000000000003</v>
      </c>
      <c r="AN45" s="411">
        <f t="shared" si="0"/>
        <v>39</v>
      </c>
      <c r="AO45" s="406">
        <v>27.64</v>
      </c>
    </row>
    <row r="46" spans="1:41" ht="18.75" customHeight="1" x14ac:dyDescent="0.25">
      <c r="AH46" s="407">
        <v>40</v>
      </c>
      <c r="AI46" s="400">
        <v>21.28</v>
      </c>
      <c r="AJ46" s="399">
        <f t="shared" si="0"/>
        <v>40</v>
      </c>
      <c r="AK46" s="401">
        <v>19.14</v>
      </c>
      <c r="AL46" s="399">
        <f t="shared" si="0"/>
        <v>40</v>
      </c>
      <c r="AM46" s="400">
        <v>41.11</v>
      </c>
      <c r="AN46" s="399">
        <f t="shared" si="0"/>
        <v>40</v>
      </c>
      <c r="AO46" s="402">
        <v>29.58</v>
      </c>
    </row>
    <row r="47" spans="1:41" ht="18.75" customHeight="1" x14ac:dyDescent="0.25">
      <c r="AH47" s="403">
        <v>41</v>
      </c>
      <c r="AI47" s="404">
        <v>22.69</v>
      </c>
      <c r="AJ47" s="411">
        <f t="shared" si="0"/>
        <v>41</v>
      </c>
      <c r="AK47" s="405">
        <v>20.329999999999998</v>
      </c>
      <c r="AL47" s="411">
        <f t="shared" si="0"/>
        <v>41</v>
      </c>
      <c r="AM47" s="404">
        <v>44.62</v>
      </c>
      <c r="AN47" s="411">
        <f t="shared" si="0"/>
        <v>41</v>
      </c>
      <c r="AO47" s="406">
        <v>31.76</v>
      </c>
    </row>
    <row r="48" spans="1:41" ht="18.75" customHeight="1" x14ac:dyDescent="0.25">
      <c r="AH48" s="407">
        <v>42</v>
      </c>
      <c r="AI48" s="400">
        <v>24.24</v>
      </c>
      <c r="AJ48" s="399">
        <f t="shared" si="0"/>
        <v>42</v>
      </c>
      <c r="AK48" s="401">
        <v>21.56</v>
      </c>
      <c r="AL48" s="399">
        <f t="shared" si="0"/>
        <v>42</v>
      </c>
      <c r="AM48" s="400">
        <v>48.36</v>
      </c>
      <c r="AN48" s="399">
        <f t="shared" si="0"/>
        <v>42</v>
      </c>
      <c r="AO48" s="402">
        <v>33.97</v>
      </c>
    </row>
    <row r="49" spans="34:41" ht="18.75" customHeight="1" x14ac:dyDescent="0.25">
      <c r="AH49" s="403">
        <v>43</v>
      </c>
      <c r="AI49" s="404">
        <v>26.28</v>
      </c>
      <c r="AJ49" s="411">
        <f t="shared" si="0"/>
        <v>43</v>
      </c>
      <c r="AK49" s="405">
        <v>23.2</v>
      </c>
      <c r="AL49" s="411">
        <f t="shared" si="0"/>
        <v>43</v>
      </c>
      <c r="AM49" s="404">
        <v>53.38</v>
      </c>
      <c r="AN49" s="411">
        <f t="shared" si="0"/>
        <v>43</v>
      </c>
      <c r="AO49" s="406">
        <v>36.75</v>
      </c>
    </row>
    <row r="50" spans="34:41" ht="18.75" customHeight="1" x14ac:dyDescent="0.25">
      <c r="AH50" s="407">
        <v>44</v>
      </c>
      <c r="AI50" s="400">
        <v>29.01</v>
      </c>
      <c r="AJ50" s="399">
        <f t="shared" si="0"/>
        <v>44</v>
      </c>
      <c r="AK50" s="401">
        <v>25.24</v>
      </c>
      <c r="AL50" s="399">
        <f t="shared" si="0"/>
        <v>44</v>
      </c>
      <c r="AM50" s="400">
        <v>59.77</v>
      </c>
      <c r="AN50" s="399">
        <f t="shared" si="0"/>
        <v>44</v>
      </c>
      <c r="AO50" s="402">
        <v>40.270000000000003</v>
      </c>
    </row>
    <row r="51" spans="34:41" ht="18.75" customHeight="1" x14ac:dyDescent="0.25">
      <c r="AH51" s="403">
        <v>45</v>
      </c>
      <c r="AI51" s="404">
        <v>31.73</v>
      </c>
      <c r="AJ51" s="411">
        <f t="shared" si="0"/>
        <v>45</v>
      </c>
      <c r="AK51" s="405">
        <v>27.06</v>
      </c>
      <c r="AL51" s="411">
        <f t="shared" si="0"/>
        <v>45</v>
      </c>
      <c r="AM51" s="404">
        <v>66.06</v>
      </c>
      <c r="AN51" s="411">
        <f t="shared" si="0"/>
        <v>45</v>
      </c>
      <c r="AO51" s="406">
        <v>43.47</v>
      </c>
    </row>
    <row r="52" spans="34:41" ht="18.75" customHeight="1" x14ac:dyDescent="0.25">
      <c r="AH52" s="407">
        <v>46</v>
      </c>
      <c r="AI52" s="400">
        <v>34.659999999999997</v>
      </c>
      <c r="AJ52" s="399">
        <f t="shared" si="0"/>
        <v>46</v>
      </c>
      <c r="AK52" s="401">
        <v>29.18</v>
      </c>
      <c r="AL52" s="399">
        <f t="shared" si="0"/>
        <v>46</v>
      </c>
      <c r="AM52" s="400">
        <v>72.239999999999995</v>
      </c>
      <c r="AN52" s="399">
        <f t="shared" si="0"/>
        <v>46</v>
      </c>
      <c r="AO52" s="402">
        <v>46.88</v>
      </c>
    </row>
    <row r="53" spans="34:41" ht="18.75" customHeight="1" x14ac:dyDescent="0.25">
      <c r="AH53" s="403">
        <v>47</v>
      </c>
      <c r="AI53" s="404">
        <v>37.979999999999997</v>
      </c>
      <c r="AJ53" s="411">
        <f t="shared" si="0"/>
        <v>47</v>
      </c>
      <c r="AK53" s="405">
        <v>31.39</v>
      </c>
      <c r="AL53" s="411">
        <f t="shared" si="0"/>
        <v>47</v>
      </c>
      <c r="AM53" s="404">
        <v>79.14</v>
      </c>
      <c r="AN53" s="411">
        <f t="shared" si="0"/>
        <v>47</v>
      </c>
      <c r="AO53" s="406">
        <v>50.32</v>
      </c>
    </row>
    <row r="54" spans="34:41" ht="18.75" customHeight="1" x14ac:dyDescent="0.25">
      <c r="AH54" s="407">
        <v>48</v>
      </c>
      <c r="AI54" s="400">
        <v>42.4</v>
      </c>
      <c r="AJ54" s="399">
        <f t="shared" si="0"/>
        <v>48</v>
      </c>
      <c r="AK54" s="401">
        <v>34.130000000000003</v>
      </c>
      <c r="AL54" s="399">
        <f t="shared" si="0"/>
        <v>48</v>
      </c>
      <c r="AM54" s="400">
        <v>88.27</v>
      </c>
      <c r="AN54" s="399">
        <f t="shared" si="0"/>
        <v>48</v>
      </c>
      <c r="AO54" s="402">
        <v>54.65</v>
      </c>
    </row>
    <row r="55" spans="34:41" ht="18.75" customHeight="1" x14ac:dyDescent="0.25">
      <c r="AH55" s="403">
        <v>49</v>
      </c>
      <c r="AI55" s="404">
        <v>47.97</v>
      </c>
      <c r="AJ55" s="411">
        <f t="shared" si="0"/>
        <v>49</v>
      </c>
      <c r="AK55" s="405">
        <v>37.479999999999997</v>
      </c>
      <c r="AL55" s="411">
        <f t="shared" si="0"/>
        <v>49</v>
      </c>
      <c r="AM55" s="404">
        <v>99.88</v>
      </c>
      <c r="AN55" s="411">
        <f t="shared" si="0"/>
        <v>49</v>
      </c>
      <c r="AO55" s="406">
        <v>59.93</v>
      </c>
    </row>
    <row r="56" spans="34:41" ht="18.75" customHeight="1" x14ac:dyDescent="0.25">
      <c r="AH56" s="407">
        <v>50</v>
      </c>
      <c r="AI56" s="400">
        <v>53.73</v>
      </c>
      <c r="AJ56" s="399">
        <f t="shared" si="0"/>
        <v>50</v>
      </c>
      <c r="AK56" s="401">
        <v>40.659999999999997</v>
      </c>
      <c r="AL56" s="399">
        <f t="shared" si="0"/>
        <v>50</v>
      </c>
      <c r="AM56" s="400">
        <v>111.7</v>
      </c>
      <c r="AN56" s="399">
        <f t="shared" si="0"/>
        <v>50</v>
      </c>
      <c r="AO56" s="402">
        <v>64.73</v>
      </c>
    </row>
    <row r="57" spans="34:41" ht="18.75" customHeight="1" x14ac:dyDescent="0.25">
      <c r="AH57" s="403">
        <v>51</v>
      </c>
      <c r="AI57" s="404">
        <v>59.14</v>
      </c>
      <c r="AJ57" s="411">
        <f t="shared" si="0"/>
        <v>51</v>
      </c>
      <c r="AK57" s="405">
        <v>43.73</v>
      </c>
      <c r="AL57" s="411">
        <f t="shared" si="0"/>
        <v>51</v>
      </c>
      <c r="AM57" s="404">
        <v>122.22</v>
      </c>
      <c r="AN57" s="411">
        <f t="shared" si="0"/>
        <v>51</v>
      </c>
      <c r="AO57" s="406">
        <v>69.150000000000006</v>
      </c>
    </row>
    <row r="58" spans="34:41" ht="18.75" customHeight="1" x14ac:dyDescent="0.25">
      <c r="AH58" s="407">
        <v>52</v>
      </c>
      <c r="AI58" s="400">
        <v>65.260000000000005</v>
      </c>
      <c r="AJ58" s="399">
        <f t="shared" si="0"/>
        <v>52</v>
      </c>
      <c r="AK58" s="401">
        <v>47</v>
      </c>
      <c r="AL58" s="399">
        <f t="shared" si="0"/>
        <v>52</v>
      </c>
      <c r="AM58" s="400">
        <v>133.43</v>
      </c>
      <c r="AN58" s="399">
        <f t="shared" si="0"/>
        <v>52</v>
      </c>
      <c r="AO58" s="402">
        <v>73.819999999999993</v>
      </c>
    </row>
    <row r="59" spans="34:41" ht="18.75" customHeight="1" x14ac:dyDescent="0.25">
      <c r="AH59" s="403">
        <v>53</v>
      </c>
      <c r="AI59" s="404">
        <v>73.83</v>
      </c>
      <c r="AJ59" s="411">
        <f t="shared" si="0"/>
        <v>53</v>
      </c>
      <c r="AK59" s="405">
        <v>51.87</v>
      </c>
      <c r="AL59" s="411">
        <f t="shared" si="0"/>
        <v>53</v>
      </c>
      <c r="AM59" s="404">
        <v>149.05000000000001</v>
      </c>
      <c r="AN59" s="411">
        <f t="shared" si="0"/>
        <v>53</v>
      </c>
      <c r="AO59" s="406">
        <v>80.84</v>
      </c>
    </row>
    <row r="60" spans="34:41" ht="18.75" customHeight="1" x14ac:dyDescent="0.25">
      <c r="AH60" s="407">
        <v>54</v>
      </c>
      <c r="AI60" s="400">
        <v>84.97</v>
      </c>
      <c r="AJ60" s="399">
        <f t="shared" si="0"/>
        <v>54</v>
      </c>
      <c r="AK60" s="401">
        <v>58.6</v>
      </c>
      <c r="AL60" s="399">
        <f t="shared" si="0"/>
        <v>54</v>
      </c>
      <c r="AM60" s="400">
        <v>168.81</v>
      </c>
      <c r="AN60" s="399">
        <f t="shared" si="0"/>
        <v>54</v>
      </c>
      <c r="AO60" s="402">
        <v>90.58</v>
      </c>
    </row>
    <row r="61" spans="34:41" ht="18.75" customHeight="1" x14ac:dyDescent="0.25">
      <c r="AH61" s="403">
        <v>55</v>
      </c>
      <c r="AI61" s="404">
        <v>95.31</v>
      </c>
      <c r="AJ61" s="411">
        <f t="shared" si="0"/>
        <v>55</v>
      </c>
      <c r="AK61" s="405">
        <v>64.819999999999993</v>
      </c>
      <c r="AL61" s="411">
        <f t="shared" si="0"/>
        <v>55</v>
      </c>
      <c r="AM61" s="404">
        <v>185.45</v>
      </c>
      <c r="AN61" s="411">
        <f t="shared" si="0"/>
        <v>55</v>
      </c>
      <c r="AO61" s="406">
        <v>98.94</v>
      </c>
    </row>
    <row r="62" spans="34:41" ht="18.75" customHeight="1" x14ac:dyDescent="0.25">
      <c r="AH62" s="407">
        <v>56</v>
      </c>
      <c r="AI62" s="400">
        <v>105.03</v>
      </c>
      <c r="AJ62" s="399">
        <f t="shared" si="0"/>
        <v>56</v>
      </c>
      <c r="AK62" s="401">
        <v>69.680000000000007</v>
      </c>
      <c r="AL62" s="399">
        <f t="shared" si="0"/>
        <v>56</v>
      </c>
      <c r="AM62" s="400">
        <v>199.1</v>
      </c>
      <c r="AN62" s="399">
        <f t="shared" si="0"/>
        <v>56</v>
      </c>
      <c r="AO62" s="402">
        <v>104.77</v>
      </c>
    </row>
    <row r="63" spans="34:41" ht="18.75" customHeight="1" x14ac:dyDescent="0.25">
      <c r="AH63" s="403">
        <v>57</v>
      </c>
      <c r="AI63" s="404">
        <v>115.83</v>
      </c>
      <c r="AJ63" s="411">
        <f t="shared" si="0"/>
        <v>57</v>
      </c>
      <c r="AK63" s="405">
        <v>74.84</v>
      </c>
      <c r="AL63" s="411">
        <f t="shared" si="0"/>
        <v>57</v>
      </c>
      <c r="AM63" s="404">
        <v>213.48</v>
      </c>
      <c r="AN63" s="411">
        <f t="shared" si="0"/>
        <v>57</v>
      </c>
      <c r="AO63" s="406">
        <v>110.81</v>
      </c>
    </row>
    <row r="64" spans="34:41" ht="18.75" customHeight="1" x14ac:dyDescent="0.25">
      <c r="AH64" s="407">
        <v>58</v>
      </c>
      <c r="AI64" s="400">
        <v>128.37</v>
      </c>
      <c r="AJ64" s="399">
        <f t="shared" si="0"/>
        <v>58</v>
      </c>
      <c r="AK64" s="401">
        <v>81.099999999999994</v>
      </c>
      <c r="AL64" s="399">
        <f t="shared" si="0"/>
        <v>58</v>
      </c>
      <c r="AM64" s="400">
        <v>229.8</v>
      </c>
      <c r="AN64" s="399">
        <f t="shared" si="0"/>
        <v>58</v>
      </c>
      <c r="AO64" s="402">
        <v>117.78</v>
      </c>
    </row>
    <row r="65" spans="34:41" ht="18.75" customHeight="1" x14ac:dyDescent="0.25">
      <c r="AH65" s="403">
        <v>59</v>
      </c>
      <c r="AI65" s="404">
        <v>143.22999999999999</v>
      </c>
      <c r="AJ65" s="411">
        <f t="shared" si="0"/>
        <v>59</v>
      </c>
      <c r="AK65" s="405">
        <v>88.38</v>
      </c>
      <c r="AL65" s="411">
        <f t="shared" si="0"/>
        <v>59</v>
      </c>
      <c r="AM65" s="404">
        <v>249.55</v>
      </c>
      <c r="AN65" s="411">
        <f t="shared" si="0"/>
        <v>59</v>
      </c>
      <c r="AO65" s="406">
        <v>126.11</v>
      </c>
    </row>
    <row r="66" spans="34:41" ht="18.75" customHeight="1" x14ac:dyDescent="0.25">
      <c r="AH66" s="407">
        <v>60</v>
      </c>
      <c r="AI66" s="400" t="s">
        <v>289</v>
      </c>
      <c r="AJ66" s="399">
        <f t="shared" si="0"/>
        <v>60</v>
      </c>
      <c r="AK66" s="401" t="s">
        <v>289</v>
      </c>
      <c r="AL66" s="399">
        <f t="shared" si="0"/>
        <v>60</v>
      </c>
      <c r="AM66" s="400" t="s">
        <v>289</v>
      </c>
      <c r="AN66" s="399">
        <f t="shared" si="0"/>
        <v>60</v>
      </c>
      <c r="AO66" s="402" t="s">
        <v>289</v>
      </c>
    </row>
  </sheetData>
  <mergeCells count="188">
    <mergeCell ref="T36:U36"/>
    <mergeCell ref="G37:U37"/>
    <mergeCell ref="Q23:U23"/>
    <mergeCell ref="Q28:S28"/>
    <mergeCell ref="T28:U28"/>
    <mergeCell ref="L31:N31"/>
    <mergeCell ref="O31:P31"/>
    <mergeCell ref="L32:N32"/>
    <mergeCell ref="O28:P28"/>
    <mergeCell ref="L29:N29"/>
    <mergeCell ref="O29:P29"/>
    <mergeCell ref="L30:N30"/>
    <mergeCell ref="T33:U33"/>
    <mergeCell ref="G34:I34"/>
    <mergeCell ref="J34:K34"/>
    <mergeCell ref="L34:N34"/>
    <mergeCell ref="O34:P34"/>
    <mergeCell ref="Q34:S34"/>
    <mergeCell ref="T34:U34"/>
    <mergeCell ref="G35:I35"/>
    <mergeCell ref="J35:K35"/>
    <mergeCell ref="L35:N35"/>
    <mergeCell ref="Q35:S35"/>
    <mergeCell ref="L23:P23"/>
    <mergeCell ref="A36:F36"/>
    <mergeCell ref="G33:I33"/>
    <mergeCell ref="J33:K33"/>
    <mergeCell ref="L33:N33"/>
    <mergeCell ref="O33:P33"/>
    <mergeCell ref="Q33:S33"/>
    <mergeCell ref="G36:I36"/>
    <mergeCell ref="J36:K36"/>
    <mergeCell ref="L36:N36"/>
    <mergeCell ref="O36:P36"/>
    <mergeCell ref="Q36:S36"/>
    <mergeCell ref="Q11:U11"/>
    <mergeCell ref="G29:I29"/>
    <mergeCell ref="G30:I30"/>
    <mergeCell ref="G31:I31"/>
    <mergeCell ref="G32:I32"/>
    <mergeCell ref="A27:F27"/>
    <mergeCell ref="T35:U35"/>
    <mergeCell ref="A33:F33"/>
    <mergeCell ref="A34:F34"/>
    <mergeCell ref="A35:F35"/>
    <mergeCell ref="T30:U30"/>
    <mergeCell ref="Q31:S31"/>
    <mergeCell ref="T31:U31"/>
    <mergeCell ref="Q32:S32"/>
    <mergeCell ref="T32:U32"/>
    <mergeCell ref="Q29:S29"/>
    <mergeCell ref="T29:U29"/>
    <mergeCell ref="L27:N27"/>
    <mergeCell ref="O27:P27"/>
    <mergeCell ref="L28:N28"/>
    <mergeCell ref="O32:P32"/>
    <mergeCell ref="Q27:S27"/>
    <mergeCell ref="T27:U27"/>
    <mergeCell ref="O35:P35"/>
    <mergeCell ref="W13:AA13"/>
    <mergeCell ref="G12:K12"/>
    <mergeCell ref="L12:P12"/>
    <mergeCell ref="Q12:U12"/>
    <mergeCell ref="G14:K14"/>
    <mergeCell ref="L14:P14"/>
    <mergeCell ref="Q14:U14"/>
    <mergeCell ref="Q13:U13"/>
    <mergeCell ref="G19:K19"/>
    <mergeCell ref="L19:P19"/>
    <mergeCell ref="Q19:U19"/>
    <mergeCell ref="W12:AA12"/>
    <mergeCell ref="O16:P16"/>
    <mergeCell ref="O17:P17"/>
    <mergeCell ref="Q22:U22"/>
    <mergeCell ref="T16:U16"/>
    <mergeCell ref="T17:U17"/>
    <mergeCell ref="A11:F11"/>
    <mergeCell ref="A22:F22"/>
    <mergeCell ref="A17:F17"/>
    <mergeCell ref="G17:I17"/>
    <mergeCell ref="J17:K17"/>
    <mergeCell ref="L17:N17"/>
    <mergeCell ref="G13:K13"/>
    <mergeCell ref="A15:F15"/>
    <mergeCell ref="A16:F16"/>
    <mergeCell ref="G22:K22"/>
    <mergeCell ref="L22:P22"/>
    <mergeCell ref="A13:F13"/>
    <mergeCell ref="A12:F12"/>
    <mergeCell ref="A18:F18"/>
    <mergeCell ref="A20:F20"/>
    <mergeCell ref="A14:F14"/>
    <mergeCell ref="A19:F19"/>
    <mergeCell ref="G11:K11"/>
    <mergeCell ref="L11:P11"/>
    <mergeCell ref="L15:N15"/>
    <mergeCell ref="L16:N16"/>
    <mergeCell ref="J29:K29"/>
    <mergeCell ref="J30:K30"/>
    <mergeCell ref="J31:K31"/>
    <mergeCell ref="A25:F25"/>
    <mergeCell ref="J32:K32"/>
    <mergeCell ref="G27:I27"/>
    <mergeCell ref="G28:I28"/>
    <mergeCell ref="I25:K25"/>
    <mergeCell ref="G25:H25"/>
    <mergeCell ref="AC1:BD1"/>
    <mergeCell ref="W16:AA16"/>
    <mergeCell ref="G15:I15"/>
    <mergeCell ref="G16:I16"/>
    <mergeCell ref="Q25:R25"/>
    <mergeCell ref="Q20:U20"/>
    <mergeCell ref="Q18:U18"/>
    <mergeCell ref="W11:AA11"/>
    <mergeCell ref="W17:AA17"/>
    <mergeCell ref="W15:AA15"/>
    <mergeCell ref="G18:K18"/>
    <mergeCell ref="L18:P18"/>
    <mergeCell ref="J15:K15"/>
    <mergeCell ref="J16:K16"/>
    <mergeCell ref="Q17:S17"/>
    <mergeCell ref="S25:U25"/>
    <mergeCell ref="N25:P25"/>
    <mergeCell ref="G21:K21"/>
    <mergeCell ref="G7:K7"/>
    <mergeCell ref="Q15:S15"/>
    <mergeCell ref="Q16:S16"/>
    <mergeCell ref="W10:AA10"/>
    <mergeCell ref="L25:M25"/>
    <mergeCell ref="G23:K23"/>
    <mergeCell ref="T8:U8"/>
    <mergeCell ref="R8:S8"/>
    <mergeCell ref="A40:F40"/>
    <mergeCell ref="G40:K40"/>
    <mergeCell ref="L40:P40"/>
    <mergeCell ref="Q40:U40"/>
    <mergeCell ref="A39:F39"/>
    <mergeCell ref="G38:H38"/>
    <mergeCell ref="G39:H39"/>
    <mergeCell ref="A38:F38"/>
    <mergeCell ref="L39:M39"/>
    <mergeCell ref="Q39:R39"/>
    <mergeCell ref="L38:M38"/>
    <mergeCell ref="A23:F23"/>
    <mergeCell ref="O30:P30"/>
    <mergeCell ref="A29:F29"/>
    <mergeCell ref="A30:F30"/>
    <mergeCell ref="Q38:R38"/>
    <mergeCell ref="Q30:S30"/>
    <mergeCell ref="A28:F28"/>
    <mergeCell ref="A31:F31"/>
    <mergeCell ref="A32:F32"/>
    <mergeCell ref="J27:K27"/>
    <mergeCell ref="J28:K28"/>
    <mergeCell ref="W28:AA28"/>
    <mergeCell ref="W29:AA29"/>
    <mergeCell ref="W31:AA31"/>
    <mergeCell ref="W32:AA32"/>
    <mergeCell ref="AH22:AO22"/>
    <mergeCell ref="A7:F7"/>
    <mergeCell ref="G10:K10"/>
    <mergeCell ref="L10:P10"/>
    <mergeCell ref="Q10:U10"/>
    <mergeCell ref="A8:F8"/>
    <mergeCell ref="AH18:AO19"/>
    <mergeCell ref="AH23:AK23"/>
    <mergeCell ref="AL23:AO23"/>
    <mergeCell ref="W27:AA27"/>
    <mergeCell ref="W26:AA26"/>
    <mergeCell ref="G8:K8"/>
    <mergeCell ref="A21:F21"/>
    <mergeCell ref="L21:P21"/>
    <mergeCell ref="Q21:U21"/>
    <mergeCell ref="L13:P13"/>
    <mergeCell ref="G20:K20"/>
    <mergeCell ref="L20:P20"/>
    <mergeCell ref="O15:P15"/>
    <mergeCell ref="T15:U15"/>
    <mergeCell ref="B5:Z5"/>
    <mergeCell ref="A2:AA2"/>
    <mergeCell ref="B3:F3"/>
    <mergeCell ref="H3:R3"/>
    <mergeCell ref="S3:U3"/>
    <mergeCell ref="V3:AA3"/>
    <mergeCell ref="B4:F4"/>
    <mergeCell ref="H4:J4"/>
    <mergeCell ref="S4:U4"/>
    <mergeCell ref="V4:Z4"/>
  </mergeCells>
  <conditionalFormatting sqref="G16">
    <cfRule type="cellIs" dxfId="7" priority="21" operator="lessThanOrEqual">
      <formula>0</formula>
    </cfRule>
  </conditionalFormatting>
  <conditionalFormatting sqref="L16">
    <cfRule type="cellIs" dxfId="6" priority="17" operator="lessThanOrEqual">
      <formula>0</formula>
    </cfRule>
  </conditionalFormatting>
  <conditionalFormatting sqref="Q16">
    <cfRule type="cellIs" dxfId="5" priority="16" operator="lessThanOrEqual">
      <formula>0</formula>
    </cfRule>
  </conditionalFormatting>
  <conditionalFormatting sqref="AE29:AF36">
    <cfRule type="iconSet" priority="11">
      <iconSet iconSet="3Symbols2" showValue="0">
        <cfvo type="percent" val="0"/>
        <cfvo type="percent" val="33"/>
        <cfvo type="percent" val="67"/>
      </iconSet>
    </cfRule>
  </conditionalFormatting>
  <conditionalFormatting sqref="G17">
    <cfRule type="cellIs" dxfId="4" priority="10" operator="lessThanOrEqual">
      <formula>0</formula>
    </cfRule>
  </conditionalFormatting>
  <conditionalFormatting sqref="L17">
    <cfRule type="cellIs" dxfId="3" priority="7" operator="lessThanOrEqual">
      <formula>0</formula>
    </cfRule>
  </conditionalFormatting>
  <conditionalFormatting sqref="Q17">
    <cfRule type="cellIs" dxfId="2" priority="6" operator="lessThanOrEqual">
      <formula>0</formula>
    </cfRule>
  </conditionalFormatting>
  <hyperlinks>
    <hyperlink ref="AD8" location="PurchaseLoanAmount" display="Loan Amount - Purchase"/>
  </hyperlinks>
  <pageMargins left="0.23622047244094491" right="3.937007874015748E-2" top="0.74803149606299213" bottom="0.55118110236220474" header="0.31496062992125984" footer="0"/>
  <pageSetup paperSize="9" orientation="portrait" r:id="rId1"/>
  <headerFooter>
    <oddHeader>&amp;R&amp;G</oddHead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Settings!$W$15:$W$17</xm:f>
          </x14:formula1>
          <xm:sqref>G20:U20</xm:sqref>
        </x14:dataValidation>
        <x14:dataValidation type="list" allowBlank="1" showInputMessage="1" showErrorMessage="1">
          <x14:formula1>
            <xm:f>Settings!$A$3:$A$62</xm:f>
          </x14:formula1>
          <xm:sqref>G8:K8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CL50"/>
  <sheetViews>
    <sheetView showGridLines="0" showRuler="0" view="pageLayout" zoomScaleNormal="100" workbookViewId="0">
      <selection activeCell="A20" sqref="A20"/>
    </sheetView>
  </sheetViews>
  <sheetFormatPr defaultColWidth="3.5703125" defaultRowHeight="18.75" customHeight="1" x14ac:dyDescent="0.25"/>
  <cols>
    <col min="1" max="12" width="3.5703125" style="29"/>
    <col min="13" max="13" width="4.28515625" style="29" bestFit="1" customWidth="1"/>
    <col min="14" max="16" width="3.5703125" style="29"/>
    <col min="17" max="17" width="3.5703125" style="32"/>
    <col min="18" max="27" width="3.5703125" style="29"/>
    <col min="28" max="28" width="3.5703125" style="29" customWidth="1"/>
    <col min="29" max="32" width="3.5703125" style="136"/>
    <col min="33" max="33" width="4.28515625" style="136" bestFit="1" customWidth="1"/>
    <col min="34" max="53" width="3.5703125" style="136"/>
    <col min="54" max="54" width="4" style="136" bestFit="1" customWidth="1"/>
    <col min="55" max="63" width="3.5703125" style="136"/>
    <col min="64" max="64" width="16.28515625" style="128" customWidth="1"/>
    <col min="65" max="66" width="10.5703125" style="128" customWidth="1"/>
    <col min="67" max="68" width="17.5703125" style="128" customWidth="1"/>
    <col min="69" max="69" width="10.5703125" style="128" customWidth="1"/>
    <col min="70" max="70" width="14.28515625" style="128" bestFit="1" customWidth="1"/>
    <col min="71" max="73" width="10.5703125" style="128" customWidth="1"/>
    <col min="74" max="74" width="14.28515625" style="29" bestFit="1" customWidth="1"/>
    <col min="75" max="75" width="10.5703125" style="29" customWidth="1"/>
    <col min="76" max="77" width="3.5703125" style="29" customWidth="1"/>
    <col min="78" max="16384" width="3.5703125" style="29"/>
  </cols>
  <sheetData>
    <row r="1" spans="1:90" ht="48" customHeight="1" x14ac:dyDescent="0.25">
      <c r="A1" s="1622" t="s">
        <v>990</v>
      </c>
      <c r="B1" s="1622"/>
      <c r="C1" s="1622"/>
      <c r="D1" s="1622"/>
      <c r="E1" s="1622"/>
      <c r="F1" s="1622"/>
      <c r="G1" s="1622"/>
      <c r="H1" s="1622"/>
      <c r="I1" s="1622"/>
      <c r="J1" s="1622"/>
      <c r="K1" s="1622"/>
      <c r="L1" s="1622"/>
      <c r="M1" s="1622"/>
      <c r="N1" s="1622"/>
      <c r="O1" s="1622"/>
      <c r="P1" s="1622"/>
    </row>
    <row r="2" spans="1:90" ht="31.15" customHeight="1" x14ac:dyDescent="0.25">
      <c r="A2" s="1533" t="s">
        <v>778</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C2" s="219"/>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L2" s="1649" t="s">
        <v>104</v>
      </c>
      <c r="BM2" s="1649"/>
      <c r="BN2" s="1649"/>
      <c r="BO2" s="1649"/>
      <c r="BP2" s="1649"/>
      <c r="BQ2" s="1649"/>
      <c r="BR2" s="1649"/>
      <c r="BS2" s="1649"/>
      <c r="BT2" s="1649"/>
      <c r="BU2" s="50"/>
      <c r="BV2" s="34"/>
      <c r="BW2" s="34"/>
      <c r="BX2" s="34"/>
      <c r="BY2" s="34"/>
      <c r="BZ2" s="34"/>
      <c r="CA2" s="34"/>
      <c r="CB2" s="34"/>
      <c r="CC2" s="34"/>
      <c r="CD2" s="34"/>
      <c r="CE2" s="34"/>
      <c r="CF2" s="34"/>
      <c r="CG2" s="34"/>
      <c r="CH2" s="34"/>
      <c r="CI2" s="34"/>
      <c r="CJ2" s="34"/>
      <c r="CK2" s="34"/>
      <c r="CL2" s="34"/>
    </row>
    <row r="3" spans="1:90" s="58" customFormat="1" ht="9" customHeight="1" x14ac:dyDescent="0.25">
      <c r="A3" s="685"/>
      <c r="B3" s="685"/>
      <c r="C3" s="685"/>
      <c r="D3" s="685"/>
      <c r="E3" s="685"/>
      <c r="F3" s="685"/>
      <c r="G3" s="1625" t="str">
        <f>IF(AddressWork1="","",CONCATENATE(G1,", ",G2," ",M2," ",O2))</f>
        <v/>
      </c>
      <c r="H3" s="1625"/>
      <c r="I3" s="1625"/>
      <c r="J3" s="1625"/>
      <c r="K3" s="1625"/>
      <c r="L3" s="1625"/>
      <c r="M3" s="1625"/>
      <c r="N3" s="1625"/>
      <c r="O3" s="1625"/>
      <c r="P3" s="1625"/>
      <c r="Q3" s="685"/>
      <c r="R3" s="1625" t="str">
        <f>IF(AddressWork2="","",CONCATENATE(R1,", ",R2," ",X2," ",Z2))</f>
        <v/>
      </c>
      <c r="S3" s="1625"/>
      <c r="T3" s="1625"/>
      <c r="U3" s="1625"/>
      <c r="V3" s="1625"/>
      <c r="W3" s="1625"/>
      <c r="X3" s="1625"/>
      <c r="Y3" s="1625"/>
      <c r="Z3" s="1625"/>
      <c r="AA3" s="1625"/>
      <c r="AB3" s="33"/>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09"/>
      <c r="BB3" s="209"/>
      <c r="BC3" s="209"/>
      <c r="BD3" s="209"/>
      <c r="BE3" s="209"/>
      <c r="BF3" s="209"/>
      <c r="BG3" s="209"/>
      <c r="BH3" s="209"/>
      <c r="BI3" s="209"/>
      <c r="BJ3" s="209"/>
      <c r="BK3" s="209"/>
      <c r="BL3" s="220"/>
      <c r="BM3" s="220"/>
      <c r="BN3" s="220"/>
      <c r="BO3" s="220"/>
      <c r="BP3" s="220"/>
      <c r="BQ3" s="220"/>
      <c r="BR3" s="220"/>
      <c r="BS3" s="220"/>
      <c r="BT3" s="220"/>
      <c r="BU3" s="221"/>
      <c r="BV3" s="59"/>
      <c r="BW3" s="59"/>
      <c r="BX3" s="59"/>
      <c r="BY3" s="59"/>
      <c r="BZ3" s="59"/>
      <c r="CA3" s="59"/>
      <c r="CB3" s="59"/>
      <c r="CC3" s="59"/>
      <c r="CD3" s="59"/>
      <c r="CE3" s="59"/>
      <c r="CF3" s="59"/>
      <c r="CG3" s="59"/>
      <c r="CH3" s="59"/>
      <c r="CI3" s="59"/>
      <c r="CJ3" s="59"/>
      <c r="CK3" s="59"/>
      <c r="CL3" s="59"/>
    </row>
    <row r="4" spans="1:90" s="58" customFormat="1" ht="19.899999999999999" customHeight="1" x14ac:dyDescent="0.25">
      <c r="A4" s="685"/>
      <c r="B4" s="685"/>
      <c r="C4" s="685"/>
      <c r="D4" s="685"/>
      <c r="E4" s="685"/>
      <c r="F4" s="685"/>
      <c r="G4" s="1655" t="str">
        <f>+Profile!I4</f>
        <v/>
      </c>
      <c r="H4" s="1655"/>
      <c r="I4" s="1655"/>
      <c r="J4" s="1655"/>
      <c r="K4" s="1655"/>
      <c r="L4" s="1655"/>
      <c r="M4" s="1655"/>
      <c r="N4" s="1655"/>
      <c r="O4" s="1655"/>
      <c r="P4" s="1655"/>
      <c r="Q4" s="927"/>
      <c r="R4" s="1655" t="str">
        <f>+Profile!T4</f>
        <v xml:space="preserve">  </v>
      </c>
      <c r="S4" s="1655"/>
      <c r="T4" s="1655"/>
      <c r="U4" s="1655"/>
      <c r="V4" s="1655"/>
      <c r="W4" s="1655"/>
      <c r="X4" s="1655"/>
      <c r="Y4" s="1655"/>
      <c r="Z4" s="1655"/>
      <c r="AA4" s="1655"/>
      <c r="AB4" s="33"/>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209"/>
      <c r="BB4" s="209"/>
      <c r="BC4" s="209"/>
      <c r="BD4" s="209"/>
      <c r="BE4" s="209"/>
      <c r="BF4" s="209"/>
      <c r="BG4" s="209"/>
      <c r="BH4" s="209"/>
      <c r="BI4" s="209"/>
      <c r="BJ4" s="209"/>
      <c r="BK4" s="209"/>
      <c r="BL4" s="220"/>
      <c r="BM4" s="220"/>
      <c r="BN4" s="220"/>
      <c r="BO4" s="220"/>
      <c r="BP4" s="220"/>
      <c r="BQ4" s="220"/>
      <c r="BR4" s="220"/>
      <c r="BS4" s="220"/>
      <c r="BT4" s="220"/>
      <c r="BU4" s="221"/>
      <c r="BV4" s="59"/>
      <c r="BW4" s="59"/>
      <c r="BX4" s="59"/>
      <c r="BY4" s="59"/>
      <c r="BZ4" s="59"/>
      <c r="CA4" s="59"/>
      <c r="CB4" s="59"/>
      <c r="CC4" s="59"/>
      <c r="CD4" s="59"/>
      <c r="CE4" s="59"/>
      <c r="CF4" s="59"/>
      <c r="CG4" s="59"/>
      <c r="CH4" s="59"/>
      <c r="CI4" s="59"/>
      <c r="CJ4" s="59"/>
      <c r="CK4" s="59"/>
      <c r="CL4" s="59"/>
    </row>
    <row r="5" spans="1:90" ht="18.600000000000001" customHeight="1" thickBot="1" x14ac:dyDescent="0.3">
      <c r="A5" s="1623" t="s">
        <v>294</v>
      </c>
      <c r="B5" s="1623"/>
      <c r="C5" s="1623"/>
      <c r="D5" s="1623"/>
      <c r="E5" s="1623"/>
      <c r="F5" s="1626"/>
      <c r="G5" s="1542" t="s">
        <v>774</v>
      </c>
      <c r="H5" s="1543"/>
      <c r="I5" s="1543"/>
      <c r="J5" s="1544"/>
      <c r="K5" s="1651" t="s">
        <v>22</v>
      </c>
      <c r="L5" s="1652"/>
      <c r="M5" s="1530" t="s">
        <v>775</v>
      </c>
      <c r="N5" s="1531"/>
      <c r="O5" s="1531"/>
      <c r="P5" s="1532"/>
      <c r="Q5" s="118"/>
      <c r="R5" s="1542" t="s">
        <v>774</v>
      </c>
      <c r="S5" s="1543"/>
      <c r="T5" s="1543"/>
      <c r="U5" s="1544"/>
      <c r="V5" s="1651" t="s">
        <v>22</v>
      </c>
      <c r="W5" s="1652"/>
      <c r="X5" s="1530" t="s">
        <v>775</v>
      </c>
      <c r="Y5" s="1531"/>
      <c r="Z5" s="1531"/>
      <c r="AA5" s="1532"/>
      <c r="BL5" s="137"/>
      <c r="BM5" s="137"/>
      <c r="BN5" s="137"/>
      <c r="BO5" s="137"/>
      <c r="BP5" s="137"/>
      <c r="BQ5" s="137"/>
      <c r="BR5" s="137"/>
      <c r="BS5" s="137"/>
      <c r="BT5" s="137"/>
      <c r="BU5" s="137"/>
      <c r="BV5" s="35"/>
      <c r="BW5" s="35"/>
      <c r="BX5" s="35"/>
      <c r="BY5" s="35"/>
    </row>
    <row r="6" spans="1:90" ht="18.600000000000001" customHeight="1" x14ac:dyDescent="0.25">
      <c r="A6" s="1623" t="s">
        <v>9</v>
      </c>
      <c r="B6" s="1623"/>
      <c r="C6" s="1623"/>
      <c r="D6" s="1623"/>
      <c r="E6" s="1623"/>
      <c r="F6" s="1626"/>
      <c r="G6" s="1653"/>
      <c r="H6" s="1543"/>
      <c r="I6" s="1543"/>
      <c r="J6" s="1543"/>
      <c r="K6" s="1543"/>
      <c r="L6" s="1543"/>
      <c r="M6" s="1543"/>
      <c r="N6" s="1543"/>
      <c r="O6" s="1543"/>
      <c r="P6" s="1544"/>
      <c r="Q6" s="36"/>
      <c r="R6" s="1542"/>
      <c r="S6" s="1543"/>
      <c r="T6" s="1543"/>
      <c r="U6" s="1543"/>
      <c r="V6" s="1543"/>
      <c r="W6" s="1543"/>
      <c r="X6" s="1543"/>
      <c r="Y6" s="1543"/>
      <c r="Z6" s="1543"/>
      <c r="AA6" s="1544"/>
      <c r="AF6" s="209"/>
      <c r="AG6" s="209"/>
      <c r="AH6" s="209"/>
      <c r="AI6" s="209"/>
      <c r="AJ6" s="209"/>
    </row>
    <row r="7" spans="1:90" ht="18.600000000000001" customHeight="1" x14ac:dyDescent="0.2">
      <c r="A7" s="1623" t="s">
        <v>10</v>
      </c>
      <c r="B7" s="1623"/>
      <c r="C7" s="1623"/>
      <c r="D7" s="1623"/>
      <c r="E7" s="1623"/>
      <c r="F7" s="1626"/>
      <c r="G7" s="1542"/>
      <c r="H7" s="1543"/>
      <c r="I7" s="1543"/>
      <c r="J7" s="1543"/>
      <c r="K7" s="1543"/>
      <c r="L7" s="1543"/>
      <c r="M7" s="1543"/>
      <c r="N7" s="1543"/>
      <c r="O7" s="1543"/>
      <c r="P7" s="1544"/>
      <c r="Q7" s="36"/>
      <c r="R7" s="1542"/>
      <c r="S7" s="1543"/>
      <c r="T7" s="1543"/>
      <c r="U7" s="1543"/>
      <c r="V7" s="1543"/>
      <c r="W7" s="1543"/>
      <c r="X7" s="1543"/>
      <c r="Y7" s="1543"/>
      <c r="Z7" s="1543"/>
      <c r="AA7" s="1544"/>
      <c r="AF7" s="1654" t="s">
        <v>441</v>
      </c>
      <c r="AG7" s="1654"/>
      <c r="AH7" s="1654"/>
      <c r="AI7" s="1654"/>
      <c r="AJ7" s="1654"/>
    </row>
    <row r="8" spans="1:90" ht="18.600000000000001" customHeight="1" x14ac:dyDescent="0.2">
      <c r="A8" s="1623" t="s">
        <v>139</v>
      </c>
      <c r="B8" s="1623"/>
      <c r="C8" s="1623"/>
      <c r="D8" s="1623"/>
      <c r="E8" s="1623"/>
      <c r="F8" s="1623"/>
      <c r="G8" s="1577"/>
      <c r="H8" s="1543"/>
      <c r="I8" s="1543"/>
      <c r="J8" s="1543"/>
      <c r="K8" s="1543"/>
      <c r="L8" s="1543"/>
      <c r="M8" s="1543"/>
      <c r="N8" s="1543"/>
      <c r="O8" s="1543"/>
      <c r="P8" s="1544"/>
      <c r="Q8" s="38"/>
      <c r="R8" s="1645"/>
      <c r="S8" s="1543"/>
      <c r="T8" s="1543"/>
      <c r="U8" s="1543"/>
      <c r="V8" s="1543"/>
      <c r="W8" s="1543"/>
      <c r="X8" s="1543"/>
      <c r="Y8" s="1543"/>
      <c r="Z8" s="1543"/>
      <c r="AA8" s="1544"/>
      <c r="AF8" s="1654"/>
      <c r="AG8" s="1654"/>
      <c r="AH8" s="1654"/>
      <c r="AI8" s="1654"/>
      <c r="AJ8" s="1654"/>
    </row>
    <row r="9" spans="1:90" ht="18.600000000000001" customHeight="1" x14ac:dyDescent="0.2">
      <c r="A9" s="1623" t="s">
        <v>11</v>
      </c>
      <c r="B9" s="1623"/>
      <c r="C9" s="1623"/>
      <c r="D9" s="1623"/>
      <c r="E9" s="1623"/>
      <c r="F9" s="1623"/>
      <c r="G9" s="1602"/>
      <c r="H9" s="1603"/>
      <c r="I9" s="1603"/>
      <c r="J9" s="1603"/>
      <c r="K9" s="1603"/>
      <c r="L9" s="1603"/>
      <c r="M9" s="1603"/>
      <c r="N9" s="1603"/>
      <c r="O9" s="1603"/>
      <c r="P9" s="1604"/>
      <c r="Q9" s="39"/>
      <c r="R9" s="1602"/>
      <c r="S9" s="1603"/>
      <c r="T9" s="1603"/>
      <c r="U9" s="1603"/>
      <c r="V9" s="1603"/>
      <c r="W9" s="1603"/>
      <c r="X9" s="1603"/>
      <c r="Y9" s="1603"/>
      <c r="Z9" s="1603"/>
      <c r="AA9" s="1604"/>
      <c r="AF9" s="1654"/>
      <c r="AG9" s="1654"/>
      <c r="AH9" s="1654"/>
      <c r="AI9" s="1654"/>
      <c r="AJ9" s="1654"/>
      <c r="BN9" s="138" t="s">
        <v>140</v>
      </c>
      <c r="BO9" s="679">
        <f>+G12</f>
        <v>0</v>
      </c>
      <c r="BP9" s="679">
        <f>+R12</f>
        <v>0</v>
      </c>
    </row>
    <row r="10" spans="1:90" ht="18.600000000000001" customHeight="1" x14ac:dyDescent="0.25">
      <c r="A10" s="1623"/>
      <c r="B10" s="1623"/>
      <c r="C10" s="1623"/>
      <c r="D10" s="1623"/>
      <c r="E10" s="1623"/>
      <c r="F10" s="1623"/>
      <c r="G10" s="1605"/>
      <c r="H10" s="1606"/>
      <c r="I10" s="1606"/>
      <c r="J10" s="1606"/>
      <c r="K10" s="1606"/>
      <c r="L10" s="1606"/>
      <c r="M10" s="1606"/>
      <c r="N10" s="1606"/>
      <c r="O10" s="1606"/>
      <c r="P10" s="1607"/>
      <c r="Q10" s="36"/>
      <c r="R10" s="1605"/>
      <c r="S10" s="1606"/>
      <c r="T10" s="1606"/>
      <c r="U10" s="1606"/>
      <c r="V10" s="1606"/>
      <c r="W10" s="1606"/>
      <c r="X10" s="1606"/>
      <c r="Y10" s="1606"/>
      <c r="Z10" s="1606"/>
      <c r="AA10" s="1607"/>
      <c r="AF10" s="1068"/>
      <c r="BN10" s="138" t="s">
        <v>101</v>
      </c>
      <c r="BO10" s="128" t="str">
        <f ca="1">IF(BO9=0,"",(+NOW()-G12)/365.25)</f>
        <v/>
      </c>
      <c r="BP10" s="128">
        <f ca="1">(+NOW()-R12)/365.25</f>
        <v>117.17320960751134</v>
      </c>
    </row>
    <row r="11" spans="1:90" ht="18.600000000000001" customHeight="1" x14ac:dyDescent="0.25">
      <c r="A11" s="630"/>
      <c r="B11" s="630"/>
      <c r="C11" s="630"/>
      <c r="D11" s="630"/>
      <c r="E11" s="630"/>
      <c r="F11" s="630"/>
      <c r="G11" s="1624" t="str">
        <f>IF(AddressWork1="","",CONCATENATE(G9,", ",G10," ",M10," ",O10))</f>
        <v/>
      </c>
      <c r="H11" s="1624"/>
      <c r="I11" s="1624"/>
      <c r="J11" s="1624"/>
      <c r="K11" s="1624"/>
      <c r="L11" s="1624"/>
      <c r="M11" s="1624"/>
      <c r="N11" s="1624"/>
      <c r="O11" s="1624"/>
      <c r="P11" s="1624"/>
      <c r="Q11" s="630"/>
      <c r="R11" s="1624" t="str">
        <f>IF(AddressWork2="","",CONCATENATE(R9,", ",R10," ",X10," ",Z10))</f>
        <v/>
      </c>
      <c r="S11" s="1624"/>
      <c r="T11" s="1624"/>
      <c r="U11" s="1624"/>
      <c r="V11" s="1624"/>
      <c r="W11" s="1624"/>
      <c r="X11" s="1624"/>
      <c r="Y11" s="1624"/>
      <c r="Z11" s="1624"/>
      <c r="AA11" s="1624"/>
      <c r="BN11" s="138" t="s">
        <v>102</v>
      </c>
      <c r="BO11" s="128" t="str">
        <f>IF(BO9=0,"",ROUNDDOWN(BO10,0))</f>
        <v/>
      </c>
      <c r="BP11" s="128">
        <f ca="1">ROUNDDOWN(BP10,0)</f>
        <v>117</v>
      </c>
    </row>
    <row r="12" spans="1:90" ht="18.600000000000001" customHeight="1" x14ac:dyDescent="0.25">
      <c r="A12" s="1623" t="s">
        <v>142</v>
      </c>
      <c r="B12" s="1623"/>
      <c r="C12" s="1623"/>
      <c r="D12" s="1623"/>
      <c r="E12" s="1623"/>
      <c r="F12" s="1623"/>
      <c r="G12" s="1507"/>
      <c r="H12" s="1508"/>
      <c r="I12" s="1508"/>
      <c r="J12" s="1509"/>
      <c r="R12" s="1535"/>
      <c r="S12" s="1536"/>
      <c r="T12" s="1536"/>
      <c r="U12" s="1537"/>
      <c r="V12" s="120"/>
      <c r="W12" s="32"/>
      <c r="X12" s="32"/>
      <c r="Y12" s="32"/>
      <c r="Z12" s="32"/>
      <c r="AA12" s="32"/>
      <c r="BN12" s="138"/>
      <c r="BO12" s="128" t="e">
        <f ca="1">((+BO10-BO11)*365)/30.41</f>
        <v>#VALUE!</v>
      </c>
      <c r="BP12" s="128">
        <f ca="1">((+BP10-BP11)*365)/30.41</f>
        <v>2.0789709550029176</v>
      </c>
    </row>
    <row r="13" spans="1:90" ht="18.600000000000001" customHeight="1" x14ac:dyDescent="0.25">
      <c r="A13" s="1623"/>
      <c r="B13" s="1623"/>
      <c r="C13" s="1623"/>
      <c r="D13" s="1623"/>
      <c r="E13" s="1623"/>
      <c r="F13" s="1623"/>
      <c r="G13" s="1650" t="str">
        <f>IF(G12="","",+BO14)</f>
        <v/>
      </c>
      <c r="H13" s="1650"/>
      <c r="I13" s="1650"/>
      <c r="J13" s="1650"/>
      <c r="K13" s="635"/>
      <c r="L13" s="636"/>
      <c r="M13" s="632"/>
      <c r="N13" s="632"/>
      <c r="O13" s="632"/>
      <c r="P13" s="632"/>
      <c r="Q13" s="632"/>
      <c r="R13" s="1650" t="str">
        <f>IF(R12="","",+BP14)</f>
        <v/>
      </c>
      <c r="S13" s="1650"/>
      <c r="T13" s="1650"/>
      <c r="U13" s="1650"/>
      <c r="V13" s="635"/>
      <c r="W13" s="636"/>
      <c r="X13" s="636"/>
      <c r="Y13" s="636"/>
      <c r="Z13" s="636"/>
      <c r="AA13" s="636"/>
      <c r="BN13" s="138" t="s">
        <v>103</v>
      </c>
      <c r="BO13" s="128" t="e">
        <f ca="1">ROUNDDOWN(BO12,0)</f>
        <v>#VALUE!</v>
      </c>
      <c r="BP13" s="128">
        <f ca="1">ROUNDDOWN(BP12,0)</f>
        <v>2</v>
      </c>
    </row>
    <row r="14" spans="1:90" ht="18.600000000000001" customHeight="1" x14ac:dyDescent="0.25">
      <c r="A14" s="1623" t="s">
        <v>573</v>
      </c>
      <c r="B14" s="1623"/>
      <c r="C14" s="1623"/>
      <c r="D14" s="1623"/>
      <c r="E14" s="1623"/>
      <c r="F14" s="1626"/>
      <c r="G14" s="1611"/>
      <c r="H14" s="1646"/>
      <c r="I14" s="1612"/>
      <c r="J14" s="1535" t="s">
        <v>574</v>
      </c>
      <c r="K14" s="1536"/>
      <c r="L14" s="1537"/>
      <c r="M14" s="1631" t="str">
        <f>IF(G14="","",VLOOKUP(J14,Settings!Z29:AA36,2,FALSE)*G14)</f>
        <v/>
      </c>
      <c r="N14" s="1632"/>
      <c r="O14" s="1632"/>
      <c r="P14" s="479" t="str">
        <f>IF(G14="","","pa")</f>
        <v/>
      </c>
      <c r="Q14" s="29"/>
      <c r="R14" s="1611"/>
      <c r="S14" s="1646"/>
      <c r="T14" s="1612"/>
      <c r="U14" s="1535" t="s">
        <v>574</v>
      </c>
      <c r="V14" s="1536"/>
      <c r="W14" s="1537"/>
      <c r="X14" s="1631" t="str">
        <f>IF(R14="","",VLOOKUP(U14,Settings!Z29:AA36,2,FALSE)*R14)</f>
        <v/>
      </c>
      <c r="Y14" s="1632"/>
      <c r="Z14" s="1632"/>
      <c r="AA14" s="479" t="str">
        <f>IF(R14="","","pa")</f>
        <v/>
      </c>
      <c r="BN14" s="138" t="s">
        <v>101</v>
      </c>
      <c r="BO14" s="128" t="e">
        <f ca="1">CONCATENATE(BO11,"y ",BO13, "m ")</f>
        <v>#VALUE!</v>
      </c>
      <c r="BP14" s="128" t="str">
        <f ca="1">CONCATENATE(BP11,"y ",BP13, "m ")</f>
        <v xml:space="preserve">117y 2m </v>
      </c>
    </row>
    <row r="15" spans="1:90" ht="18.75" customHeight="1" thickBot="1" x14ac:dyDescent="0.3">
      <c r="A15" s="1628"/>
      <c r="B15" s="1628"/>
      <c r="C15" s="1628"/>
      <c r="D15" s="1628"/>
      <c r="E15" s="1628"/>
      <c r="F15" s="1628"/>
      <c r="G15" s="1627" t="str">
        <f>IF(G14="","",+G14*1.095)</f>
        <v/>
      </c>
      <c r="H15" s="1627"/>
      <c r="I15" s="1627"/>
      <c r="J15" s="1636" t="str">
        <f>IF(G14="","","'+ super")</f>
        <v/>
      </c>
      <c r="K15" s="1637"/>
      <c r="L15" s="1637"/>
      <c r="M15" s="1630" t="str">
        <f>IF(G14="","",-Servicing!AF9-Servicing!AG9)</f>
        <v/>
      </c>
      <c r="N15" s="1630"/>
      <c r="O15" s="1630"/>
      <c r="P15" s="517" t="str">
        <f>IF(G14="","","tax")</f>
        <v/>
      </c>
      <c r="Q15" s="518"/>
      <c r="R15" s="1627" t="str">
        <f>IF(R14="","",+R14*1.095)</f>
        <v/>
      </c>
      <c r="S15" s="1627"/>
      <c r="T15" s="1627"/>
      <c r="U15" s="1636" t="str">
        <f>IF(R14="","","'+ super")</f>
        <v/>
      </c>
      <c r="V15" s="1637"/>
      <c r="W15" s="1637"/>
      <c r="X15" s="1630" t="str">
        <f>IF(R14="","",-Servicing!AF10-Servicing!AG10)</f>
        <v/>
      </c>
      <c r="Y15" s="1630"/>
      <c r="Z15" s="1630"/>
      <c r="AA15" s="517" t="str">
        <f>IF(R14="","","tax")</f>
        <v/>
      </c>
      <c r="BN15" s="218"/>
    </row>
    <row r="16" spans="1:90" ht="15.75" customHeight="1" x14ac:dyDescent="0.25">
      <c r="A16" s="1629" t="s">
        <v>991</v>
      </c>
      <c r="B16" s="1629"/>
      <c r="C16" s="1629"/>
      <c r="D16" s="1629"/>
      <c r="E16" s="1629"/>
      <c r="F16" s="1629"/>
      <c r="G16" s="506"/>
      <c r="H16" s="506"/>
      <c r="I16" s="506"/>
      <c r="J16" s="506"/>
      <c r="K16" s="519"/>
      <c r="L16" s="519"/>
      <c r="M16" s="1635" t="str">
        <f>IF(G14="","",+M14-M15)</f>
        <v/>
      </c>
      <c r="N16" s="1635"/>
      <c r="O16" s="1635"/>
      <c r="P16" s="520" t="str">
        <f>IF(G14="","","net")</f>
        <v/>
      </c>
      <c r="Q16" s="521"/>
      <c r="R16" s="506"/>
      <c r="S16" s="506"/>
      <c r="T16" s="506"/>
      <c r="U16" s="506"/>
      <c r="V16" s="519"/>
      <c r="W16" s="519"/>
      <c r="X16" s="1635" t="str">
        <f>IF(R14="","",+X14-X15)</f>
        <v/>
      </c>
      <c r="Y16" s="1635"/>
      <c r="Z16" s="1635"/>
      <c r="AA16" s="520" t="str">
        <f>IF(R14="","","net")</f>
        <v/>
      </c>
      <c r="BN16" s="218"/>
    </row>
    <row r="17" spans="1:73" ht="15.75" customHeight="1" thickBot="1" x14ac:dyDescent="0.3">
      <c r="A17" s="1633" t="s">
        <v>550</v>
      </c>
      <c r="B17" s="1634"/>
      <c r="C17" s="1656"/>
      <c r="D17" s="1623"/>
      <c r="E17" s="1623"/>
      <c r="F17" s="1626"/>
      <c r="G17" s="1611"/>
      <c r="H17" s="1646"/>
      <c r="I17" s="1612"/>
      <c r="J17" s="1535" t="s">
        <v>574</v>
      </c>
      <c r="K17" s="1536"/>
      <c r="L17" s="1537"/>
      <c r="M17" s="1631" t="str">
        <f>IF(G17="","",VLOOKUP(J17,Settings!Z29:AA36,2,FALSE)*G17)</f>
        <v/>
      </c>
      <c r="N17" s="1632"/>
      <c r="O17" s="1632"/>
      <c r="P17" s="479" t="str">
        <f>IF(G17="","","pa")</f>
        <v/>
      </c>
      <c r="Q17" s="29"/>
      <c r="R17" s="1611"/>
      <c r="S17" s="1646"/>
      <c r="T17" s="1612"/>
      <c r="U17" s="1535" t="s">
        <v>574</v>
      </c>
      <c r="V17" s="1536"/>
      <c r="W17" s="1537"/>
      <c r="X17" s="1631" t="str">
        <f>IF(R17="","",VLOOKUP(U17,Settings!Z29:AA36,2,FALSE)*R17)</f>
        <v/>
      </c>
      <c r="Y17" s="1632"/>
      <c r="Z17" s="1632"/>
      <c r="AA17" s="479" t="str">
        <f>IF(R17="","","pa")</f>
        <v/>
      </c>
      <c r="AD17" s="136" t="str">
        <f>IF(A17="Yes","Bonus not used for servicing in this spreadsheet","")</f>
        <v>Bonus not used for servicing in this spreadsheet</v>
      </c>
      <c r="BN17" s="218"/>
    </row>
    <row r="18" spans="1:73" ht="15.75" customHeight="1" thickBot="1" x14ac:dyDescent="0.3">
      <c r="A18" s="1623"/>
      <c r="B18" s="1623"/>
      <c r="C18" s="1629"/>
      <c r="D18" s="1629"/>
      <c r="E18" s="1629"/>
      <c r="F18" s="1629"/>
      <c r="G18" s="2638"/>
      <c r="H18" s="2638"/>
      <c r="I18" s="2638"/>
      <c r="J18" s="1512"/>
      <c r="K18" s="1512"/>
      <c r="L18" s="1512"/>
      <c r="M18" s="1510"/>
      <c r="N18" s="1510"/>
      <c r="O18" s="1510"/>
      <c r="P18" s="479"/>
      <c r="Q18" s="29"/>
      <c r="R18" s="2638"/>
      <c r="S18" s="2638"/>
      <c r="T18" s="2638"/>
      <c r="U18" s="1512"/>
      <c r="V18" s="1512"/>
      <c r="W18" s="1512"/>
      <c r="X18" s="1510"/>
      <c r="Y18" s="1510"/>
      <c r="Z18" s="1510"/>
      <c r="AA18" s="479"/>
      <c r="BN18" s="218"/>
    </row>
    <row r="19" spans="1:73" ht="15.75" customHeight="1" thickBot="1" x14ac:dyDescent="0.3">
      <c r="A19" s="1629" t="s">
        <v>1455</v>
      </c>
      <c r="B19" s="1629"/>
      <c r="C19" s="1629"/>
      <c r="D19" s="1629"/>
      <c r="E19" s="1629"/>
      <c r="F19" s="1629"/>
      <c r="G19" s="1535"/>
      <c r="H19" s="1536"/>
      <c r="I19" s="1536"/>
      <c r="J19" s="1536"/>
      <c r="K19" s="1537"/>
      <c r="L19" s="2647" t="s">
        <v>1456</v>
      </c>
      <c r="M19" s="2133"/>
      <c r="N19" s="2133"/>
      <c r="O19" s="2133"/>
      <c r="P19" s="2134"/>
      <c r="Q19" s="29"/>
      <c r="R19" s="1535"/>
      <c r="S19" s="1536"/>
      <c r="T19" s="1536"/>
      <c r="U19" s="1536"/>
      <c r="V19" s="1537"/>
      <c r="W19" s="2647" t="s">
        <v>1456</v>
      </c>
      <c r="X19" s="2133"/>
      <c r="Y19" s="2133"/>
      <c r="Z19" s="2133"/>
      <c r="AA19" s="2134"/>
      <c r="BN19" s="218"/>
    </row>
    <row r="20" spans="1:73" ht="15.75" customHeight="1" thickBot="1" x14ac:dyDescent="0.3">
      <c r="A20" s="1511"/>
      <c r="B20" s="1511"/>
      <c r="C20" s="1511"/>
      <c r="D20" s="1511"/>
      <c r="E20" s="1511"/>
      <c r="F20" s="1511"/>
      <c r="G20" s="2648" t="s">
        <v>1457</v>
      </c>
      <c r="H20" s="2649"/>
      <c r="I20" s="1543"/>
      <c r="J20" s="1543"/>
      <c r="K20" s="1543"/>
      <c r="L20" s="1543"/>
      <c r="M20" s="1543"/>
      <c r="N20" s="1543"/>
      <c r="O20" s="1543"/>
      <c r="P20" s="1544"/>
      <c r="Q20" s="29"/>
      <c r="R20" s="2648" t="s">
        <v>1457</v>
      </c>
      <c r="S20" s="2649"/>
      <c r="T20" s="1543"/>
      <c r="U20" s="1543"/>
      <c r="V20" s="1543"/>
      <c r="W20" s="1543"/>
      <c r="X20" s="1543"/>
      <c r="Y20" s="1543"/>
      <c r="Z20" s="1543"/>
      <c r="AA20" s="1544"/>
      <c r="BN20" s="218"/>
    </row>
    <row r="21" spans="1:73" s="2644" customFormat="1" ht="7.5" customHeight="1" x14ac:dyDescent="0.25">
      <c r="A21" s="2639"/>
      <c r="B21" s="2639"/>
      <c r="C21" s="2639"/>
      <c r="D21" s="2639"/>
      <c r="E21" s="2639"/>
      <c r="F21" s="2639"/>
      <c r="G21" s="2640"/>
      <c r="H21" s="2640"/>
      <c r="I21" s="2640"/>
      <c r="J21" s="2640"/>
      <c r="K21" s="2640"/>
      <c r="L21" s="2640"/>
      <c r="M21" s="2640"/>
      <c r="N21" s="2640"/>
      <c r="O21" s="2640"/>
      <c r="P21" s="2640"/>
      <c r="Q21" s="2641"/>
      <c r="R21" s="2642"/>
      <c r="S21" s="2642"/>
      <c r="T21" s="2642"/>
      <c r="U21" s="2642"/>
      <c r="V21" s="2643"/>
      <c r="W21" s="2643"/>
      <c r="X21" s="2643"/>
      <c r="Y21" s="2643"/>
      <c r="Z21" s="2643"/>
      <c r="AA21" s="2643"/>
      <c r="AC21" s="2645"/>
      <c r="AD21" s="2645"/>
      <c r="AE21" s="2645"/>
      <c r="AF21" s="2645"/>
      <c r="AG21" s="2645"/>
      <c r="AH21" s="2645"/>
      <c r="AI21" s="2645"/>
      <c r="AJ21" s="2645"/>
      <c r="AK21" s="2645"/>
      <c r="AL21" s="2645"/>
      <c r="AM21" s="2645"/>
      <c r="AN21" s="2645"/>
      <c r="AO21" s="2645"/>
      <c r="AP21" s="2645"/>
      <c r="AQ21" s="2645"/>
      <c r="AR21" s="2645"/>
      <c r="AS21" s="2645"/>
      <c r="AT21" s="2645"/>
      <c r="AU21" s="2645"/>
      <c r="AV21" s="2645"/>
      <c r="AW21" s="2645"/>
      <c r="AX21" s="2645"/>
      <c r="AY21" s="2645"/>
      <c r="AZ21" s="2645"/>
      <c r="BA21" s="2645"/>
      <c r="BB21" s="2645"/>
      <c r="BC21" s="2645"/>
      <c r="BD21" s="2645"/>
      <c r="BE21" s="2645"/>
      <c r="BF21" s="2645"/>
      <c r="BG21" s="2645"/>
      <c r="BH21" s="2645"/>
      <c r="BI21" s="2645"/>
      <c r="BJ21" s="2645"/>
      <c r="BK21" s="2645"/>
      <c r="BL21" s="2645"/>
      <c r="BM21" s="2645"/>
      <c r="BN21" s="2646"/>
      <c r="BO21" s="2645"/>
      <c r="BP21" s="2645"/>
      <c r="BQ21" s="2645"/>
      <c r="BR21" s="2645"/>
      <c r="BS21" s="2645"/>
      <c r="BT21" s="2645"/>
      <c r="BU21" s="2645"/>
    </row>
    <row r="22" spans="1:73" ht="31.15" customHeight="1" x14ac:dyDescent="0.25">
      <c r="A22" s="1533" t="s">
        <v>779</v>
      </c>
      <c r="B22" s="1533"/>
      <c r="C22" s="1533"/>
      <c r="D22" s="1533"/>
      <c r="E22" s="1533"/>
      <c r="F22" s="1533"/>
      <c r="G22" s="1533"/>
      <c r="H22" s="1533"/>
      <c r="I22" s="1533"/>
      <c r="J22" s="1533"/>
      <c r="K22" s="1533"/>
      <c r="L22" s="1533"/>
      <c r="M22" s="1533"/>
      <c r="N22" s="1533"/>
      <c r="O22" s="1533"/>
      <c r="P22" s="1533"/>
      <c r="Q22" s="1533"/>
      <c r="R22" s="1533"/>
      <c r="S22" s="1533"/>
      <c r="T22" s="1533"/>
      <c r="U22" s="1533"/>
      <c r="V22" s="1533"/>
      <c r="W22" s="1533"/>
      <c r="X22" s="1533"/>
      <c r="Y22" s="1533"/>
      <c r="Z22" s="1533"/>
      <c r="AA22" s="1533"/>
      <c r="BN22" s="218"/>
    </row>
    <row r="23" spans="1:73" ht="9" customHeight="1" x14ac:dyDescent="0.25">
      <c r="A23" s="685"/>
      <c r="B23" s="685"/>
      <c r="C23" s="685"/>
      <c r="D23" s="685"/>
      <c r="E23" s="685"/>
      <c r="F23" s="685"/>
      <c r="G23" s="1625" t="str">
        <f>IF(AddressWork1="","",CONCATENATE(G16,", ",G22," ",M22," ",O22))</f>
        <v/>
      </c>
      <c r="H23" s="1625"/>
      <c r="I23" s="1625"/>
      <c r="J23" s="1625"/>
      <c r="K23" s="1625"/>
      <c r="L23" s="1625"/>
      <c r="M23" s="1625"/>
      <c r="N23" s="1625"/>
      <c r="O23" s="1625"/>
      <c r="P23" s="1625"/>
      <c r="Q23" s="685"/>
      <c r="R23" s="1625" t="str">
        <f>IF(AddressWork2="","",CONCATENATE(R16,", ",R22," ",X22," ",Z22))</f>
        <v/>
      </c>
      <c r="S23" s="1625"/>
      <c r="T23" s="1625"/>
      <c r="U23" s="1625"/>
      <c r="V23" s="1625"/>
      <c r="W23" s="1625"/>
      <c r="X23" s="1625"/>
      <c r="Y23" s="1625"/>
      <c r="Z23" s="1625"/>
      <c r="AA23" s="1625"/>
      <c r="AB23" s="33"/>
      <c r="BN23" s="218"/>
    </row>
    <row r="24" spans="1:73" ht="18.600000000000001" customHeight="1" x14ac:dyDescent="0.25">
      <c r="A24" s="1623" t="s">
        <v>12</v>
      </c>
      <c r="B24" s="1623"/>
      <c r="C24" s="1623"/>
      <c r="D24" s="1623"/>
      <c r="E24" s="1623"/>
      <c r="F24" s="1626"/>
      <c r="G24" s="1542"/>
      <c r="H24" s="1543"/>
      <c r="I24" s="1543"/>
      <c r="J24" s="1543"/>
      <c r="K24" s="1543"/>
      <c r="L24" s="1543"/>
      <c r="M24" s="1543"/>
      <c r="N24" s="1543"/>
      <c r="O24" s="1543"/>
      <c r="P24" s="1544"/>
      <c r="Q24" s="57"/>
      <c r="R24" s="1542"/>
      <c r="S24" s="1543"/>
      <c r="T24" s="1543"/>
      <c r="U24" s="1543"/>
      <c r="V24" s="1543"/>
      <c r="W24" s="1543"/>
      <c r="X24" s="1543"/>
      <c r="Y24" s="1543"/>
      <c r="Z24" s="1543"/>
      <c r="AA24" s="1544"/>
    </row>
    <row r="25" spans="1:73" ht="18.600000000000001" customHeight="1" x14ac:dyDescent="0.25">
      <c r="A25" s="1623" t="s">
        <v>13</v>
      </c>
      <c r="B25" s="1623"/>
      <c r="C25" s="1623"/>
      <c r="D25" s="1623"/>
      <c r="E25" s="1623"/>
      <c r="F25" s="1626"/>
      <c r="G25" s="1542"/>
      <c r="H25" s="1543"/>
      <c r="I25" s="1543"/>
      <c r="J25" s="1543"/>
      <c r="K25" s="1543"/>
      <c r="L25" s="1543"/>
      <c r="M25" s="1543"/>
      <c r="N25" s="1543"/>
      <c r="O25" s="1543"/>
      <c r="P25" s="1544"/>
      <c r="Q25" s="58"/>
      <c r="R25" s="1542"/>
      <c r="S25" s="1543"/>
      <c r="T25" s="1543"/>
      <c r="U25" s="1543"/>
      <c r="V25" s="1543"/>
      <c r="W25" s="1543"/>
      <c r="X25" s="1543"/>
      <c r="Y25" s="1543"/>
      <c r="Z25" s="1543"/>
      <c r="AA25" s="1544"/>
    </row>
    <row r="26" spans="1:73" ht="18.600000000000001" customHeight="1" x14ac:dyDescent="0.25">
      <c r="A26" s="1623" t="s">
        <v>148</v>
      </c>
      <c r="B26" s="1623"/>
      <c r="C26" s="1623"/>
      <c r="D26" s="1623"/>
      <c r="E26" s="1623"/>
      <c r="F26" s="1626"/>
      <c r="G26" s="1577" t="s">
        <v>380</v>
      </c>
      <c r="H26" s="1543"/>
      <c r="I26" s="1543"/>
      <c r="J26" s="1543"/>
      <c r="K26" s="1543"/>
      <c r="L26" s="1543"/>
      <c r="M26" s="1543"/>
      <c r="N26" s="1543"/>
      <c r="O26" s="1543"/>
      <c r="P26" s="1544"/>
      <c r="Q26" s="57"/>
      <c r="R26" s="1645" t="s">
        <v>380</v>
      </c>
      <c r="S26" s="1543"/>
      <c r="T26" s="1543"/>
      <c r="U26" s="1543"/>
      <c r="V26" s="1543"/>
      <c r="W26" s="1543"/>
      <c r="X26" s="1543"/>
      <c r="Y26" s="1543"/>
      <c r="Z26" s="1543"/>
      <c r="AA26" s="1544"/>
    </row>
    <row r="27" spans="1:73" ht="18.600000000000001" customHeight="1" x14ac:dyDescent="0.25">
      <c r="A27" s="1623" t="s">
        <v>14</v>
      </c>
      <c r="B27" s="1623"/>
      <c r="C27" s="1623"/>
      <c r="D27" s="1623"/>
      <c r="E27" s="1623"/>
      <c r="F27" s="1623"/>
      <c r="G27" s="1602"/>
      <c r="H27" s="1603"/>
      <c r="I27" s="1603"/>
      <c r="J27" s="1603"/>
      <c r="K27" s="1603"/>
      <c r="L27" s="1603"/>
      <c r="M27" s="1603"/>
      <c r="N27" s="1603"/>
      <c r="O27" s="1603"/>
      <c r="P27" s="1604"/>
      <c r="Q27" s="57"/>
      <c r="R27" s="1602"/>
      <c r="S27" s="1603"/>
      <c r="T27" s="1603"/>
      <c r="U27" s="1603"/>
      <c r="V27" s="1603"/>
      <c r="W27" s="1603"/>
      <c r="X27" s="1603"/>
      <c r="Y27" s="1603"/>
      <c r="Z27" s="1603"/>
      <c r="AA27" s="1604"/>
    </row>
    <row r="28" spans="1:73" ht="18.600000000000001" customHeight="1" x14ac:dyDescent="0.25">
      <c r="A28" s="1623"/>
      <c r="B28" s="1623"/>
      <c r="C28" s="1623"/>
      <c r="D28" s="1623"/>
      <c r="E28" s="1623"/>
      <c r="F28" s="1623"/>
      <c r="G28" s="1605"/>
      <c r="H28" s="1606"/>
      <c r="I28" s="1606"/>
      <c r="J28" s="1606"/>
      <c r="K28" s="1606"/>
      <c r="L28" s="1606"/>
      <c r="M28" s="1606"/>
      <c r="N28" s="1606"/>
      <c r="O28" s="1606"/>
      <c r="P28" s="1607"/>
      <c r="Q28" s="393"/>
      <c r="R28" s="1605"/>
      <c r="S28" s="1606"/>
      <c r="T28" s="1606"/>
      <c r="U28" s="1606"/>
      <c r="V28" s="1606"/>
      <c r="W28" s="1606"/>
      <c r="X28" s="1606"/>
      <c r="Y28" s="1606"/>
      <c r="Z28" s="1606"/>
      <c r="AA28" s="1607"/>
    </row>
    <row r="29" spans="1:73" ht="18.600000000000001" customHeight="1" x14ac:dyDescent="0.25">
      <c r="A29" s="1623" t="s">
        <v>149</v>
      </c>
      <c r="B29" s="1623"/>
      <c r="C29" s="1623"/>
      <c r="D29" s="1623"/>
      <c r="E29" s="1623"/>
      <c r="F29" s="1623"/>
      <c r="G29" s="1641"/>
      <c r="H29" s="1642"/>
      <c r="I29" s="1642"/>
      <c r="J29" s="1643"/>
      <c r="K29" s="1644" t="s">
        <v>150</v>
      </c>
      <c r="L29" s="1644"/>
      <c r="M29" s="1641"/>
      <c r="N29" s="1642"/>
      <c r="O29" s="1642"/>
      <c r="P29" s="1643"/>
      <c r="Q29" s="57"/>
      <c r="R29" s="1641"/>
      <c r="S29" s="1642"/>
      <c r="T29" s="1642"/>
      <c r="U29" s="1643"/>
      <c r="V29" s="1644" t="s">
        <v>150</v>
      </c>
      <c r="W29" s="1644"/>
      <c r="X29" s="1641" t="str">
        <f>IF(R12="","",+R12-1)</f>
        <v/>
      </c>
      <c r="Y29" s="1642"/>
      <c r="Z29" s="1642"/>
      <c r="AA29" s="1643"/>
    </row>
    <row r="30" spans="1:73" ht="13.5" customHeight="1" x14ac:dyDescent="0.25">
      <c r="A30" s="629"/>
      <c r="B30" s="629"/>
      <c r="C30" s="629"/>
      <c r="D30" s="629"/>
      <c r="E30" s="629"/>
      <c r="F30" s="629"/>
      <c r="G30" s="1640" t="str">
        <f>IF(G29="","",+BQ44)</f>
        <v/>
      </c>
      <c r="H30" s="1640"/>
      <c r="I30" s="1640"/>
      <c r="J30" s="1640"/>
      <c r="K30" s="632"/>
      <c r="L30" s="632"/>
      <c r="M30" s="632"/>
      <c r="N30" s="632"/>
      <c r="O30" s="632"/>
      <c r="P30" s="632"/>
      <c r="Q30" s="633"/>
      <c r="R30" s="1640" t="str">
        <f>IF(R29="","",+BR44)</f>
        <v/>
      </c>
      <c r="S30" s="1640"/>
      <c r="T30" s="1640"/>
      <c r="U30" s="1640"/>
      <c r="V30" s="632"/>
      <c r="W30" s="632"/>
      <c r="X30" s="632"/>
      <c r="Y30" s="632"/>
      <c r="Z30" s="632"/>
      <c r="AA30" s="632"/>
    </row>
    <row r="31" spans="1:73" ht="31.15" customHeight="1" x14ac:dyDescent="0.25">
      <c r="A31" s="1647" t="s">
        <v>15</v>
      </c>
      <c r="B31" s="1647"/>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row>
    <row r="32" spans="1:73" ht="9" customHeight="1" x14ac:dyDescent="0.25">
      <c r="A32" s="685"/>
      <c r="B32" s="685"/>
      <c r="C32" s="685"/>
      <c r="D32" s="685"/>
      <c r="E32" s="685"/>
      <c r="F32" s="685"/>
      <c r="G32" s="1625"/>
      <c r="H32" s="1625"/>
      <c r="I32" s="1625"/>
      <c r="J32" s="1625"/>
      <c r="K32" s="1625"/>
      <c r="L32" s="1625"/>
      <c r="M32" s="1625"/>
      <c r="N32" s="1625"/>
      <c r="O32" s="1625"/>
      <c r="P32" s="1625"/>
      <c r="Q32" s="685"/>
      <c r="R32" s="1625"/>
      <c r="S32" s="1625"/>
      <c r="T32" s="1625"/>
      <c r="U32" s="1625"/>
      <c r="V32" s="1625"/>
      <c r="W32" s="1625"/>
      <c r="X32" s="1625"/>
      <c r="Y32" s="1625"/>
      <c r="Z32" s="1625"/>
      <c r="AA32" s="1625"/>
    </row>
    <row r="33" spans="1:74" ht="18" customHeight="1" x14ac:dyDescent="0.25">
      <c r="A33" s="1623" t="s">
        <v>16</v>
      </c>
      <c r="B33" s="1623"/>
      <c r="C33" s="1623"/>
      <c r="D33" s="1623"/>
      <c r="E33" s="1623"/>
      <c r="F33" s="1626"/>
      <c r="G33" s="1542"/>
      <c r="H33" s="1543"/>
      <c r="I33" s="1543"/>
      <c r="J33" s="1543"/>
      <c r="K33" s="1543"/>
      <c r="L33" s="1543"/>
      <c r="M33" s="1543"/>
      <c r="N33" s="1543"/>
      <c r="O33" s="1543"/>
      <c r="P33" s="1544"/>
      <c r="Q33" s="59"/>
      <c r="R33" s="1542"/>
      <c r="S33" s="1543"/>
      <c r="T33" s="1543"/>
      <c r="U33" s="1543"/>
      <c r="V33" s="1543"/>
      <c r="W33" s="1543"/>
      <c r="X33" s="1543"/>
      <c r="Y33" s="1543"/>
      <c r="Z33" s="1543"/>
      <c r="AA33" s="1544"/>
    </row>
    <row r="34" spans="1:74" ht="18" customHeight="1" x14ac:dyDescent="0.25">
      <c r="A34" s="1623" t="s">
        <v>17</v>
      </c>
      <c r="B34" s="1623"/>
      <c r="C34" s="1623"/>
      <c r="D34" s="1623"/>
      <c r="E34" s="1623"/>
      <c r="F34" s="1626"/>
      <c r="G34" s="1542"/>
      <c r="H34" s="1543"/>
      <c r="I34" s="1543"/>
      <c r="J34" s="1543"/>
      <c r="K34" s="1543"/>
      <c r="L34" s="1543"/>
      <c r="M34" s="1543"/>
      <c r="N34" s="1543"/>
      <c r="O34" s="1543"/>
      <c r="P34" s="1544"/>
      <c r="Q34" s="59"/>
      <c r="R34" s="1542"/>
      <c r="S34" s="1543"/>
      <c r="T34" s="1543"/>
      <c r="U34" s="1543"/>
      <c r="V34" s="1543"/>
      <c r="W34" s="1543"/>
      <c r="X34" s="1543"/>
      <c r="Y34" s="1543"/>
      <c r="Z34" s="1543"/>
      <c r="AA34" s="1544"/>
    </row>
    <row r="35" spans="1:74" ht="18" customHeight="1" x14ac:dyDescent="0.25">
      <c r="A35" s="1648" t="s">
        <v>152</v>
      </c>
      <c r="B35" s="1648"/>
      <c r="C35" s="1648"/>
      <c r="D35" s="1648"/>
      <c r="E35" s="1648"/>
      <c r="F35" s="1648"/>
      <c r="G35" s="1645" t="s">
        <v>380</v>
      </c>
      <c r="H35" s="1543"/>
      <c r="I35" s="1543"/>
      <c r="J35" s="1543"/>
      <c r="K35" s="1543"/>
      <c r="L35" s="1543"/>
      <c r="M35" s="1543"/>
      <c r="N35" s="1543"/>
      <c r="O35" s="1543"/>
      <c r="P35" s="1544"/>
      <c r="Q35" s="59"/>
      <c r="R35" s="1645" t="s">
        <v>380</v>
      </c>
      <c r="S35" s="1543"/>
      <c r="T35" s="1543"/>
      <c r="U35" s="1543"/>
      <c r="V35" s="1543"/>
      <c r="W35" s="1543"/>
      <c r="X35" s="1543"/>
      <c r="Y35" s="1543"/>
      <c r="Z35" s="1543"/>
      <c r="AA35" s="1544"/>
    </row>
    <row r="36" spans="1:74" ht="18" customHeight="1" thickBot="1" x14ac:dyDescent="0.3">
      <c r="A36" s="1623" t="s">
        <v>18</v>
      </c>
      <c r="B36" s="1623"/>
      <c r="C36" s="1623"/>
      <c r="D36" s="1623"/>
      <c r="E36" s="1623"/>
      <c r="F36" s="1623"/>
      <c r="G36" s="1602"/>
      <c r="H36" s="1603"/>
      <c r="I36" s="1603"/>
      <c r="J36" s="1603"/>
      <c r="K36" s="1603"/>
      <c r="L36" s="1603"/>
      <c r="M36" s="1603"/>
      <c r="N36" s="1603"/>
      <c r="O36" s="1603"/>
      <c r="P36" s="1604"/>
      <c r="Q36" s="60"/>
      <c r="R36" s="1602"/>
      <c r="S36" s="1603"/>
      <c r="T36" s="1603"/>
      <c r="U36" s="1603"/>
      <c r="V36" s="1603"/>
      <c r="W36" s="1603"/>
      <c r="X36" s="1603"/>
      <c r="Y36" s="1603"/>
      <c r="Z36" s="1603"/>
      <c r="AA36" s="1604"/>
    </row>
    <row r="37" spans="1:74" ht="18" customHeight="1" x14ac:dyDescent="0.25">
      <c r="A37" s="1623"/>
      <c r="B37" s="1623"/>
      <c r="C37" s="1623"/>
      <c r="D37" s="1623"/>
      <c r="E37" s="1623"/>
      <c r="F37" s="1623"/>
      <c r="G37" s="1605"/>
      <c r="H37" s="1606"/>
      <c r="I37" s="1606"/>
      <c r="J37" s="1606"/>
      <c r="K37" s="1606"/>
      <c r="L37" s="1606"/>
      <c r="M37" s="1606"/>
      <c r="N37" s="1606"/>
      <c r="O37" s="1606"/>
      <c r="P37" s="1607"/>
      <c r="Q37" s="57"/>
      <c r="R37" s="1605"/>
      <c r="S37" s="1606"/>
      <c r="T37" s="1606"/>
      <c r="U37" s="1606"/>
      <c r="V37" s="1606"/>
      <c r="W37" s="1606"/>
      <c r="X37" s="1606"/>
      <c r="Y37" s="1606"/>
      <c r="Z37" s="1606"/>
      <c r="AA37" s="1607"/>
    </row>
    <row r="38" spans="1:74" ht="18" customHeight="1" x14ac:dyDescent="0.25">
      <c r="A38" s="1623" t="s">
        <v>153</v>
      </c>
      <c r="B38" s="1623"/>
      <c r="C38" s="1623"/>
      <c r="D38" s="1623"/>
      <c r="E38" s="1623"/>
      <c r="F38" s="1623"/>
      <c r="G38" s="1641"/>
      <c r="H38" s="1642"/>
      <c r="I38" s="1642"/>
      <c r="J38" s="1643"/>
      <c r="K38" s="1644" t="s">
        <v>150</v>
      </c>
      <c r="L38" s="1644"/>
      <c r="M38" s="1641"/>
      <c r="N38" s="1642"/>
      <c r="O38" s="1642"/>
      <c r="P38" s="1643"/>
      <c r="Q38" s="57"/>
      <c r="R38" s="1641"/>
      <c r="S38" s="1642"/>
      <c r="T38" s="1642"/>
      <c r="U38" s="1643"/>
      <c r="V38" s="1644" t="s">
        <v>150</v>
      </c>
      <c r="W38" s="1644"/>
      <c r="X38" s="1641"/>
      <c r="Y38" s="1642"/>
      <c r="Z38" s="1642"/>
      <c r="AA38" s="1643"/>
      <c r="BL38" s="138" t="s">
        <v>277</v>
      </c>
    </row>
    <row r="39" spans="1:74" ht="18" customHeight="1" x14ac:dyDescent="0.25">
      <c r="A39" s="629"/>
      <c r="B39" s="629"/>
      <c r="C39" s="629"/>
      <c r="D39" s="629"/>
      <c r="E39" s="629"/>
      <c r="F39" s="629"/>
      <c r="G39" s="1640" t="str">
        <f>IF(G38="","",+BQ44)</f>
        <v/>
      </c>
      <c r="H39" s="1640"/>
      <c r="I39" s="1640"/>
      <c r="J39" s="1640"/>
      <c r="K39" s="637"/>
      <c r="L39" s="637"/>
      <c r="M39" s="637"/>
      <c r="N39" s="637"/>
      <c r="O39" s="637"/>
      <c r="P39" s="637"/>
      <c r="Q39" s="637"/>
      <c r="R39" s="1640" t="str">
        <f>IF(R38="","",+BV45)</f>
        <v/>
      </c>
      <c r="S39" s="1640"/>
      <c r="T39" s="1640"/>
      <c r="U39" s="1640"/>
      <c r="V39" s="637"/>
      <c r="W39" s="637"/>
      <c r="X39" s="637"/>
      <c r="Y39" s="637"/>
      <c r="Z39" s="637"/>
      <c r="AA39" s="637"/>
      <c r="AB39" s="478"/>
      <c r="BL39" s="128" t="s">
        <v>34</v>
      </c>
      <c r="BP39" s="138" t="s">
        <v>119</v>
      </c>
      <c r="BQ39" s="139" t="e">
        <f>+#REF!</f>
        <v>#REF!</v>
      </c>
      <c r="BR39" s="139" t="e">
        <f>+#REF!</f>
        <v>#REF!</v>
      </c>
      <c r="BT39" s="138" t="s">
        <v>19</v>
      </c>
    </row>
    <row r="40" spans="1:74" ht="18" customHeight="1" x14ac:dyDescent="0.25">
      <c r="A40" s="1623" t="s">
        <v>15</v>
      </c>
      <c r="B40" s="1623"/>
      <c r="C40" s="1623"/>
      <c r="D40" s="1623"/>
      <c r="E40" s="1623"/>
      <c r="F40" s="1626"/>
      <c r="G40" s="1611"/>
      <c r="H40" s="1646"/>
      <c r="I40" s="1612"/>
      <c r="J40" s="1535" t="s">
        <v>574</v>
      </c>
      <c r="K40" s="1536"/>
      <c r="L40" s="1537"/>
      <c r="M40" s="1638">
        <f>VLOOKUP(J40,Settings!Z29:AA36,2,FALSE)*G40</f>
        <v>0</v>
      </c>
      <c r="N40" s="1639"/>
      <c r="O40" s="1639"/>
      <c r="P40" s="631" t="s">
        <v>81</v>
      </c>
      <c r="Q40" s="478"/>
      <c r="R40" s="1611"/>
      <c r="S40" s="1646"/>
      <c r="T40" s="1612"/>
      <c r="U40" s="1535" t="s">
        <v>574</v>
      </c>
      <c r="V40" s="1536"/>
      <c r="W40" s="1537"/>
      <c r="X40" s="1638">
        <f>VLOOKUP(U40,Settings!Z29:AA36,2,FALSE)*R40</f>
        <v>0</v>
      </c>
      <c r="Y40" s="1639"/>
      <c r="Z40" s="1639"/>
      <c r="AA40" s="631" t="s">
        <v>81</v>
      </c>
      <c r="BL40" s="128" t="s">
        <v>39</v>
      </c>
      <c r="BP40" s="138" t="s">
        <v>151</v>
      </c>
      <c r="BQ40" s="140">
        <f>(+M29-G29)/365.25</f>
        <v>0</v>
      </c>
      <c r="BR40" s="140" t="e">
        <f>(+X29-R29)/365.25</f>
        <v>#VALUE!</v>
      </c>
      <c r="BT40" s="138" t="s">
        <v>151</v>
      </c>
      <c r="BU40" s="139" t="e">
        <f>+BQ39</f>
        <v>#REF!</v>
      </c>
      <c r="BV40" s="37" t="e">
        <f>+BR39</f>
        <v>#REF!</v>
      </c>
    </row>
    <row r="41" spans="1:74" ht="18.75" customHeight="1" thickBot="1" x14ac:dyDescent="0.3">
      <c r="A41" s="1628" t="s">
        <v>581</v>
      </c>
      <c r="B41" s="1628"/>
      <c r="C41" s="1628"/>
      <c r="D41" s="1628"/>
      <c r="E41" s="1628"/>
      <c r="F41" s="1628"/>
      <c r="G41" s="634"/>
      <c r="H41" s="634"/>
      <c r="I41" s="634"/>
      <c r="J41" s="634"/>
      <c r="K41" s="635"/>
      <c r="L41" s="636"/>
      <c r="M41" s="632"/>
      <c r="N41" s="632"/>
      <c r="O41" s="632"/>
      <c r="P41" s="632"/>
      <c r="Q41" s="632"/>
      <c r="R41" s="634"/>
      <c r="S41" s="634"/>
      <c r="T41" s="634"/>
      <c r="U41" s="634"/>
      <c r="V41" s="635"/>
      <c r="W41" s="636"/>
      <c r="X41" s="636"/>
      <c r="Y41" s="636"/>
      <c r="Z41" s="636"/>
      <c r="AA41" s="636"/>
      <c r="BL41" s="128" t="s">
        <v>41</v>
      </c>
      <c r="BP41" s="138" t="s">
        <v>102</v>
      </c>
      <c r="BQ41" s="128">
        <f>ROUNDDOWN(BQ40,0)</f>
        <v>0</v>
      </c>
      <c r="BR41" s="128" t="e">
        <f>ROUNDDOWN(BR40,0)</f>
        <v>#VALUE!</v>
      </c>
      <c r="BT41" s="138" t="s">
        <v>102</v>
      </c>
      <c r="BU41" s="128">
        <f>(M38-G38)/365.25</f>
        <v>0</v>
      </c>
      <c r="BV41" s="29">
        <f>(X38-R38)/365.25</f>
        <v>0</v>
      </c>
    </row>
    <row r="42" spans="1:74" ht="18.75" customHeight="1" x14ac:dyDescent="0.25">
      <c r="A42" s="40"/>
      <c r="B42" s="40"/>
      <c r="C42" s="40"/>
      <c r="D42" s="40"/>
      <c r="E42" s="40"/>
      <c r="F42" s="40"/>
      <c r="G42" s="629"/>
      <c r="H42" s="629"/>
      <c r="I42" s="629"/>
      <c r="J42" s="629"/>
      <c r="K42" s="629"/>
      <c r="L42" s="629"/>
      <c r="M42" s="629"/>
      <c r="N42" s="629"/>
      <c r="O42" s="629"/>
      <c r="P42" s="629"/>
      <c r="Q42" s="629"/>
      <c r="R42" s="629"/>
      <c r="S42" s="629"/>
      <c r="T42" s="629"/>
      <c r="U42" s="629"/>
      <c r="V42" s="629"/>
      <c r="W42" s="629"/>
      <c r="X42" s="629"/>
      <c r="Y42" s="629"/>
      <c r="Z42" s="629"/>
      <c r="AA42" s="629"/>
      <c r="BL42" s="128" t="s">
        <v>48</v>
      </c>
      <c r="BP42" s="138"/>
      <c r="BQ42" s="128">
        <f>((+BQ40-BQ41)*365)/30.41</f>
        <v>0</v>
      </c>
      <c r="BR42" s="128" t="e">
        <f>((+BR40-BR41)*365)/30.41</f>
        <v>#VALUE!</v>
      </c>
      <c r="BT42" s="138"/>
      <c r="BU42" s="128">
        <f>ROUNDDOWN(BU41,0)</f>
        <v>0</v>
      </c>
      <c r="BV42" s="29">
        <f>ROUNDDOWN(BV41,0)</f>
        <v>0</v>
      </c>
    </row>
    <row r="43" spans="1:74" ht="18.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BL43" s="128" t="s">
        <v>44</v>
      </c>
      <c r="BP43" s="138" t="s">
        <v>103</v>
      </c>
      <c r="BQ43" s="128">
        <f>ROUNDDOWN(BQ42,0)</f>
        <v>0</v>
      </c>
      <c r="BR43" s="128" t="e">
        <f>ROUNDDOWN(BR42,0)</f>
        <v>#VALUE!</v>
      </c>
      <c r="BT43" s="138" t="s">
        <v>103</v>
      </c>
      <c r="BU43" s="128">
        <f>((+BU41-BU42)*365)/30.41</f>
        <v>0</v>
      </c>
      <c r="BV43" s="29">
        <f>((+BV41-BV42)*365)/30.41</f>
        <v>0</v>
      </c>
    </row>
    <row r="44" spans="1:74" ht="18.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BL44" s="128" t="s">
        <v>43</v>
      </c>
      <c r="BP44" s="138" t="s">
        <v>154</v>
      </c>
      <c r="BQ44" s="128" t="str">
        <f>CONCATENATE(BQ41,"y ",BQ43, "m ")</f>
        <v xml:space="preserve">0y 0m </v>
      </c>
      <c r="BR44" s="128" t="e">
        <f>CONCATENATE(BR41,"y ",BR43, "m ")</f>
        <v>#VALUE!</v>
      </c>
      <c r="BT44" s="138" t="s">
        <v>154</v>
      </c>
      <c r="BU44" s="128">
        <f>ROUNDDOWN(BU43,0)</f>
        <v>0</v>
      </c>
      <c r="BV44" s="29">
        <f>ROUNDDOWN(BV43,0)</f>
        <v>0</v>
      </c>
    </row>
    <row r="45" spans="1:74" ht="18.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BL45" s="128" t="s">
        <v>45</v>
      </c>
      <c r="BU45" s="128" t="str">
        <f>CONCATENATE(BU42,"y ",BU44, "m ")</f>
        <v xml:space="preserve">0y 0m </v>
      </c>
      <c r="BV45" s="29" t="str">
        <f>CONCATENATE(BV42,"y ",BV44, "m ")</f>
        <v xml:space="preserve">0y 0m </v>
      </c>
    </row>
    <row r="46" spans="1:74" ht="18.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33"/>
      <c r="BL46" s="128" t="s">
        <v>47</v>
      </c>
    </row>
    <row r="47" spans="1:74" ht="18.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BL47" s="128" t="s">
        <v>111</v>
      </c>
    </row>
    <row r="48" spans="1:74" ht="18.75" customHeight="1" x14ac:dyDescent="0.25">
      <c r="A48" s="41"/>
      <c r="B48" s="41"/>
      <c r="C48" s="41"/>
      <c r="D48" s="41"/>
      <c r="E48" s="41"/>
      <c r="F48" s="41"/>
      <c r="G48" s="42"/>
      <c r="H48" s="42"/>
      <c r="I48" s="43"/>
      <c r="J48" s="43"/>
      <c r="K48" s="43"/>
      <c r="L48" s="43"/>
      <c r="M48" s="43"/>
      <c r="N48" s="43"/>
      <c r="O48" s="43"/>
      <c r="P48" s="43"/>
      <c r="Q48" s="44"/>
      <c r="R48" s="45"/>
      <c r="S48" s="45"/>
      <c r="T48" s="43"/>
      <c r="U48" s="43"/>
      <c r="V48" s="46"/>
      <c r="W48" s="46"/>
      <c r="X48" s="46"/>
      <c r="Y48" s="46"/>
      <c r="Z48" s="46"/>
      <c r="AA48" s="46"/>
    </row>
    <row r="49" spans="1:19" ht="18.75" customHeight="1" x14ac:dyDescent="0.25">
      <c r="A49" s="47"/>
      <c r="B49" s="47"/>
      <c r="C49" s="47"/>
      <c r="D49" s="47"/>
      <c r="E49" s="47"/>
      <c r="F49" s="47"/>
      <c r="G49" s="47"/>
      <c r="H49" s="47"/>
      <c r="I49" s="47"/>
      <c r="J49" s="47"/>
      <c r="K49" s="47"/>
      <c r="L49" s="47"/>
      <c r="M49" s="47"/>
      <c r="N49" s="47"/>
      <c r="O49" s="47"/>
      <c r="P49" s="47"/>
      <c r="Q49" s="48"/>
      <c r="R49" s="47"/>
      <c r="S49" s="47"/>
    </row>
    <row r="50" spans="1:19" ht="18.75" customHeight="1" x14ac:dyDescent="0.25">
      <c r="A50" s="47"/>
      <c r="B50" s="47"/>
      <c r="C50" s="47"/>
      <c r="D50" s="47"/>
      <c r="E50" s="47"/>
      <c r="F50" s="47"/>
      <c r="G50" s="47"/>
      <c r="H50" s="47"/>
      <c r="I50" s="47"/>
      <c r="J50" s="47"/>
      <c r="K50" s="47"/>
      <c r="L50" s="47"/>
      <c r="M50" s="47"/>
      <c r="N50" s="47"/>
      <c r="O50" s="47"/>
      <c r="P50" s="47"/>
      <c r="Q50" s="48"/>
      <c r="R50" s="47"/>
      <c r="S50" s="47"/>
    </row>
  </sheetData>
  <mergeCells count="131">
    <mergeCell ref="X19:AA19"/>
    <mergeCell ref="I20:P20"/>
    <mergeCell ref="G20:H20"/>
    <mergeCell ref="R20:S20"/>
    <mergeCell ref="T20:AA20"/>
    <mergeCell ref="R24:AA24"/>
    <mergeCell ref="R25:AA25"/>
    <mergeCell ref="R26:AA26"/>
    <mergeCell ref="X38:AA38"/>
    <mergeCell ref="R27:AA28"/>
    <mergeCell ref="R30:U30"/>
    <mergeCell ref="AF7:AJ7"/>
    <mergeCell ref="G26:P26"/>
    <mergeCell ref="AF9:AJ9"/>
    <mergeCell ref="U14:W14"/>
    <mergeCell ref="G25:P25"/>
    <mergeCell ref="X14:Z14"/>
    <mergeCell ref="G13:J13"/>
    <mergeCell ref="A22:AA22"/>
    <mergeCell ref="G17:I17"/>
    <mergeCell ref="J17:L17"/>
    <mergeCell ref="M17:O17"/>
    <mergeCell ref="R17:T17"/>
    <mergeCell ref="U17:W17"/>
    <mergeCell ref="C17:F17"/>
    <mergeCell ref="G23:P23"/>
    <mergeCell ref="R23:AA23"/>
    <mergeCell ref="R32:AA32"/>
    <mergeCell ref="A10:F10"/>
    <mergeCell ref="BL2:BT2"/>
    <mergeCell ref="G14:I14"/>
    <mergeCell ref="J14:L14"/>
    <mergeCell ref="R13:U13"/>
    <mergeCell ref="R12:U12"/>
    <mergeCell ref="G11:P11"/>
    <mergeCell ref="V5:W5"/>
    <mergeCell ref="X5:AA5"/>
    <mergeCell ref="G5:J5"/>
    <mergeCell ref="G6:P6"/>
    <mergeCell ref="R7:AA7"/>
    <mergeCell ref="R8:AA8"/>
    <mergeCell ref="R5:U5"/>
    <mergeCell ref="R9:AA10"/>
    <mergeCell ref="M5:P5"/>
    <mergeCell ref="K5:L5"/>
    <mergeCell ref="AF8:AJ8"/>
    <mergeCell ref="G4:P4"/>
    <mergeCell ref="R4:AA4"/>
    <mergeCell ref="R14:T14"/>
    <mergeCell ref="A41:F41"/>
    <mergeCell ref="A40:F40"/>
    <mergeCell ref="G40:I40"/>
    <mergeCell ref="J40:L40"/>
    <mergeCell ref="M40:O40"/>
    <mergeCell ref="K38:L38"/>
    <mergeCell ref="M38:P38"/>
    <mergeCell ref="G30:J30"/>
    <mergeCell ref="G34:P34"/>
    <mergeCell ref="G35:P35"/>
    <mergeCell ref="G36:P37"/>
    <mergeCell ref="A36:F36"/>
    <mergeCell ref="A37:F37"/>
    <mergeCell ref="A34:F34"/>
    <mergeCell ref="A33:F33"/>
    <mergeCell ref="G33:P33"/>
    <mergeCell ref="A35:F35"/>
    <mergeCell ref="G32:P32"/>
    <mergeCell ref="X40:Z40"/>
    <mergeCell ref="A38:F38"/>
    <mergeCell ref="G39:J39"/>
    <mergeCell ref="R39:U39"/>
    <mergeCell ref="G38:J38"/>
    <mergeCell ref="A27:F27"/>
    <mergeCell ref="G29:J29"/>
    <mergeCell ref="K29:L29"/>
    <mergeCell ref="M29:P29"/>
    <mergeCell ref="G27:P28"/>
    <mergeCell ref="A28:F28"/>
    <mergeCell ref="A29:F29"/>
    <mergeCell ref="R33:AA33"/>
    <mergeCell ref="R34:AA34"/>
    <mergeCell ref="R35:AA35"/>
    <mergeCell ref="R36:AA37"/>
    <mergeCell ref="R38:U38"/>
    <mergeCell ref="V38:W38"/>
    <mergeCell ref="R29:U29"/>
    <mergeCell ref="V29:W29"/>
    <mergeCell ref="X29:AA29"/>
    <mergeCell ref="U40:W40"/>
    <mergeCell ref="R40:T40"/>
    <mergeCell ref="A31:AA31"/>
    <mergeCell ref="A26:F26"/>
    <mergeCell ref="A15:F15"/>
    <mergeCell ref="G7:P7"/>
    <mergeCell ref="A16:F16"/>
    <mergeCell ref="A25:F25"/>
    <mergeCell ref="A24:F24"/>
    <mergeCell ref="G24:P24"/>
    <mergeCell ref="M15:O15"/>
    <mergeCell ref="X17:Z17"/>
    <mergeCell ref="A17:B17"/>
    <mergeCell ref="X15:Z15"/>
    <mergeCell ref="X16:Z16"/>
    <mergeCell ref="M16:O16"/>
    <mergeCell ref="U15:W15"/>
    <mergeCell ref="G15:I15"/>
    <mergeCell ref="J15:L15"/>
    <mergeCell ref="A8:F8"/>
    <mergeCell ref="A7:F7"/>
    <mergeCell ref="G9:P10"/>
    <mergeCell ref="A13:F13"/>
    <mergeCell ref="M14:O14"/>
    <mergeCell ref="A12:F12"/>
    <mergeCell ref="A14:F14"/>
    <mergeCell ref="A1:P1"/>
    <mergeCell ref="A2:AA2"/>
    <mergeCell ref="A9:F9"/>
    <mergeCell ref="G8:P8"/>
    <mergeCell ref="R11:AA11"/>
    <mergeCell ref="R6:AA6"/>
    <mergeCell ref="G3:P3"/>
    <mergeCell ref="R3:AA3"/>
    <mergeCell ref="A6:F6"/>
    <mergeCell ref="A5:F5"/>
    <mergeCell ref="R15:T15"/>
    <mergeCell ref="A18:F18"/>
    <mergeCell ref="A19:F19"/>
    <mergeCell ref="A21:F21"/>
    <mergeCell ref="G19:K19"/>
    <mergeCell ref="M19:P19"/>
    <mergeCell ref="R19:V19"/>
  </mergeCells>
  <conditionalFormatting sqref="G17:AA18 L19 Q19:Q20">
    <cfRule type="expression" dxfId="173" priority="449">
      <formula>$A$17="No"</formula>
    </cfRule>
  </conditionalFormatting>
  <conditionalFormatting sqref="W19">
    <cfRule type="expression" dxfId="0" priority="1">
      <formula>$A$17="No"</formula>
    </cfRule>
  </conditionalFormatting>
  <hyperlinks>
    <hyperlink ref="AF7" r:id="rId1"/>
  </hyperlinks>
  <printOptions horizontalCentered="1"/>
  <pageMargins left="0.23622047244094491" right="3.937007874015748E-2" top="0.74803149606299213" bottom="0.74803149606299213" header="0.31496062992125984" footer="0"/>
  <pageSetup paperSize="9" scale="98" orientation="portrait" r:id="rId2"/>
  <headerFooter alignWithMargins="0">
    <oddHeader>&amp;C&amp;G</oddHeader>
    <oddFooter>&amp;R&amp;G</oddFooter>
  </headerFooter>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2" id="{B0548441-7846-430B-91F2-EDFB7AAF6FC4}">
            <xm:f>$G$5=Settings!$AB$40</xm:f>
            <x14:dxf>
              <font>
                <color theme="0" tint="-0.24994659260841701"/>
              </font>
            </x14:dxf>
          </x14:cfRule>
          <xm:sqref>G5:J5</xm:sqref>
        </x14:conditionalFormatting>
        <x14:conditionalFormatting xmlns:xm="http://schemas.microsoft.com/office/excel/2006/main">
          <x14:cfRule type="expression" priority="10" id="{A2674145-5FBC-4522-A7AF-BF37150634E7}">
            <xm:f>$M$5=Settings!$AC$40</xm:f>
            <x14:dxf>
              <font>
                <color theme="0" tint="-0.24994659260841701"/>
              </font>
            </x14:dxf>
          </x14:cfRule>
          <xm:sqref>M5:P5</xm:sqref>
        </x14:conditionalFormatting>
        <x14:conditionalFormatting xmlns:xm="http://schemas.microsoft.com/office/excel/2006/main">
          <x14:cfRule type="expression" priority="7" id="{97A7DC0C-82FF-4C4C-9E35-2572A3B82FD1}">
            <xm:f>$R$5=Settings!$AB$40</xm:f>
            <x14:dxf>
              <font>
                <color theme="0" tint="-0.24994659260841701"/>
              </font>
            </x14:dxf>
          </x14:cfRule>
          <xm:sqref>R5:U5</xm:sqref>
        </x14:conditionalFormatting>
        <x14:conditionalFormatting xmlns:xm="http://schemas.microsoft.com/office/excel/2006/main">
          <x14:cfRule type="expression" priority="6" id="{239CC62C-56A6-4EFF-8AD5-67E63BF75BB3}">
            <xm:f>$X$5=Settings!$AC$40</xm:f>
            <x14:dxf>
              <font>
                <color theme="0" tint="-0.24994659260841701"/>
              </font>
            </x14:dxf>
          </x14:cfRule>
          <xm:sqref>X5:AA5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Settings!$AB$35:$AB$40</xm:f>
          </x14:formula1>
          <xm:sqref>G5:J5 R5:U5</xm:sqref>
        </x14:dataValidation>
        <x14:dataValidation type="list" allowBlank="1" showInputMessage="1" showErrorMessage="1">
          <x14:formula1>
            <xm:f>Settings!$AC$35:$AC$40</xm:f>
          </x14:formula1>
          <xm:sqref>M5:P5 X5:AA5</xm:sqref>
        </x14:dataValidation>
        <x14:dataValidation type="list" allowBlank="1" showInputMessage="1" showErrorMessage="1">
          <x14:formula1>
            <xm:f>Settings!$Z$29:$Z$36</xm:f>
          </x14:formula1>
          <xm:sqref>J14 U14 J40 U40 J17:J18 U17:U18</xm:sqref>
        </x14:dataValidation>
        <x14:dataValidation type="list" allowBlank="1" showInputMessage="1" showErrorMessage="1">
          <x14:formula1>
            <xm:f>Settings!$AE$28:$AE$29</xm:f>
          </x14:formula1>
          <xm:sqref>A17:B17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AP39"/>
  <sheetViews>
    <sheetView workbookViewId="0">
      <selection activeCell="AO2" sqref="AO2"/>
    </sheetView>
  </sheetViews>
  <sheetFormatPr defaultColWidth="9.28515625" defaultRowHeight="12.75" x14ac:dyDescent="0.2"/>
  <cols>
    <col min="1" max="1" width="2.5703125" style="2" customWidth="1"/>
    <col min="2" max="2" width="6.5703125" style="20" bestFit="1" customWidth="1"/>
    <col min="3" max="3" width="12.5703125" style="20" bestFit="1" customWidth="1"/>
    <col min="4" max="4" width="4.28515625" style="20" bestFit="1" customWidth="1"/>
    <col min="5" max="5" width="5.5703125" style="20" bestFit="1" customWidth="1"/>
    <col min="6" max="6" width="9.28515625" style="20" bestFit="1" customWidth="1"/>
    <col min="7" max="9" width="9.5703125" style="2" bestFit="1" customWidth="1"/>
    <col min="10" max="10" width="7.28515625" style="2" bestFit="1" customWidth="1"/>
    <col min="11" max="11" width="2.5703125" style="2" bestFit="1" customWidth="1"/>
    <col min="12" max="13" width="9.5703125" style="2" bestFit="1" customWidth="1"/>
    <col min="14" max="14" width="3.28515625" style="2" customWidth="1"/>
    <col min="15" max="15" width="6.85546875" style="20" bestFit="1" customWidth="1"/>
    <col min="16" max="16" width="12.5703125" style="20" bestFit="1" customWidth="1"/>
    <col min="17" max="17" width="4.28515625" style="20" bestFit="1" customWidth="1"/>
    <col min="18" max="18" width="5.5703125" style="20" bestFit="1" customWidth="1"/>
    <col min="19" max="19" width="8.28515625" style="20" bestFit="1" customWidth="1"/>
    <col min="20" max="22" width="9.5703125" style="2" bestFit="1" customWidth="1"/>
    <col min="23" max="23" width="7.28515625" style="2" bestFit="1" customWidth="1"/>
    <col min="24" max="24" width="2.5703125" style="2" bestFit="1" customWidth="1"/>
    <col min="25" max="26" width="9.5703125" style="2" bestFit="1" customWidth="1"/>
    <col min="27" max="27" width="9.28515625" style="2"/>
    <col min="28" max="28" width="6.85546875" style="20" bestFit="1" customWidth="1"/>
    <col min="29" max="29" width="7.28515625" style="20" bestFit="1" customWidth="1"/>
    <col min="30" max="30" width="6.85546875" style="20" bestFit="1" customWidth="1"/>
    <col min="31" max="31" width="5.5703125" style="20" bestFit="1" customWidth="1"/>
    <col min="32" max="32" width="8.28515625" style="20" bestFit="1" customWidth="1"/>
    <col min="33" max="35" width="9.5703125" style="2" bestFit="1" customWidth="1"/>
    <col min="36" max="36" width="7.28515625" style="2" bestFit="1" customWidth="1"/>
    <col min="37" max="37" width="2.5703125" style="2" bestFit="1" customWidth="1"/>
    <col min="38" max="39" width="9.5703125" style="2" bestFit="1" customWidth="1"/>
    <col min="40" max="41" width="9.28515625" style="2"/>
    <col min="42" max="42" width="10.7109375" style="2" bestFit="1" customWidth="1"/>
    <col min="43" max="16384" width="9.28515625" style="2"/>
  </cols>
  <sheetData>
    <row r="1" spans="2:42" ht="26.25" x14ac:dyDescent="0.4">
      <c r="B1" s="1657" t="s">
        <v>520</v>
      </c>
      <c r="C1" s="1657"/>
      <c r="D1" s="1657"/>
      <c r="E1" s="1657"/>
      <c r="F1" s="1657"/>
      <c r="G1" s="1657"/>
      <c r="H1" s="1657"/>
      <c r="I1" s="1657"/>
      <c r="J1" s="1657"/>
      <c r="K1" s="1657"/>
      <c r="L1" s="1657"/>
      <c r="M1" s="1657"/>
      <c r="O1" s="1657" t="s">
        <v>521</v>
      </c>
      <c r="P1" s="1657"/>
      <c r="Q1" s="1657"/>
      <c r="R1" s="1657"/>
      <c r="S1" s="1657"/>
      <c r="T1" s="1657"/>
      <c r="U1" s="1657"/>
      <c r="V1" s="1657"/>
      <c r="W1" s="1657"/>
      <c r="X1" s="1657"/>
      <c r="Y1" s="1657"/>
      <c r="Z1" s="1657"/>
      <c r="AB1" s="1657" t="s">
        <v>522</v>
      </c>
      <c r="AC1" s="1657"/>
      <c r="AD1" s="1657"/>
      <c r="AE1" s="1657"/>
      <c r="AF1" s="1657"/>
      <c r="AG1" s="1657"/>
      <c r="AH1" s="1657"/>
      <c r="AI1" s="1657"/>
      <c r="AJ1" s="1657"/>
      <c r="AK1" s="1657"/>
      <c r="AL1" s="1657"/>
      <c r="AM1" s="1657"/>
      <c r="AO1" s="1657" t="s">
        <v>914</v>
      </c>
      <c r="AP1" s="1657"/>
    </row>
    <row r="2" spans="2:42" ht="25.5" x14ac:dyDescent="0.2">
      <c r="B2" s="5" t="s">
        <v>74</v>
      </c>
      <c r="C2" s="5" t="s">
        <v>75</v>
      </c>
      <c r="D2" s="5" t="s">
        <v>76</v>
      </c>
      <c r="E2" s="5" t="s">
        <v>77</v>
      </c>
      <c r="F2" s="5" t="s">
        <v>78</v>
      </c>
      <c r="G2" s="9">
        <f>+LoanSplit1</f>
        <v>0</v>
      </c>
      <c r="H2" s="5" t="s">
        <v>79</v>
      </c>
      <c r="I2" s="5" t="s">
        <v>80</v>
      </c>
      <c r="J2" s="9">
        <f>+PBLoan!G38</f>
        <v>200</v>
      </c>
      <c r="K2" s="10"/>
      <c r="L2" s="10"/>
      <c r="O2" s="5" t="s">
        <v>74</v>
      </c>
      <c r="P2" s="5" t="s">
        <v>75</v>
      </c>
      <c r="Q2" s="5" t="s">
        <v>76</v>
      </c>
      <c r="R2" s="5" t="s">
        <v>77</v>
      </c>
      <c r="S2" s="5" t="s">
        <v>78</v>
      </c>
      <c r="T2" s="9" t="str">
        <f>+PBLoan!L13</f>
        <v/>
      </c>
      <c r="U2" s="5" t="s">
        <v>79</v>
      </c>
      <c r="V2" s="5" t="s">
        <v>80</v>
      </c>
      <c r="W2" s="9">
        <f>+PBLoan!L38</f>
        <v>0</v>
      </c>
      <c r="X2" s="10"/>
      <c r="Y2" s="10"/>
      <c r="AB2" s="5" t="s">
        <v>74</v>
      </c>
      <c r="AC2" s="5" t="s">
        <v>75</v>
      </c>
      <c r="AD2" s="5" t="s">
        <v>76</v>
      </c>
      <c r="AE2" s="5" t="s">
        <v>77</v>
      </c>
      <c r="AF2" s="5" t="s">
        <v>78</v>
      </c>
      <c r="AG2" s="9" t="str">
        <f>+PBLoan!Q11</f>
        <v/>
      </c>
      <c r="AH2" s="5" t="s">
        <v>79</v>
      </c>
      <c r="AI2" s="5" t="s">
        <v>80</v>
      </c>
      <c r="AJ2" s="9">
        <f>+PBLoan!Q38</f>
        <v>0</v>
      </c>
      <c r="AK2" s="10"/>
      <c r="AL2" s="10"/>
    </row>
    <row r="3" spans="2:42" x14ac:dyDescent="0.2">
      <c r="B3" s="11">
        <f>+D3</f>
        <v>0</v>
      </c>
      <c r="C3" s="12" t="str">
        <f>+InterestRate</f>
        <v/>
      </c>
      <c r="D3" s="11">
        <f>IF(+PBLoan!G17="",0,+PBLoan!G17)</f>
        <v>0</v>
      </c>
      <c r="E3" s="11">
        <f>IF(+PBLoan!G16="",0,+PBLoan!G16)</f>
        <v>0</v>
      </c>
      <c r="F3" s="11">
        <f>+Funding!AO22</f>
        <v>0</v>
      </c>
      <c r="G3" s="9" t="str">
        <f>+PBLoan!G12</f>
        <v/>
      </c>
      <c r="H3" s="5" t="s">
        <v>82</v>
      </c>
      <c r="I3" s="5" t="s">
        <v>83</v>
      </c>
      <c r="J3" s="9">
        <f>+PBLoan!G39</f>
        <v>0</v>
      </c>
      <c r="K3" s="10" t="s">
        <v>81</v>
      </c>
      <c r="L3" s="10"/>
      <c r="O3" s="11">
        <f>IF(Q3="","0",+Q3)</f>
        <v>0</v>
      </c>
      <c r="P3" s="12" t="str">
        <f>+PBLoan!L22</f>
        <v/>
      </c>
      <c r="Q3" s="11">
        <f>IF(+PBLoan!L17="",0,+PBLoan!L17)</f>
        <v>0</v>
      </c>
      <c r="R3" s="11">
        <f>IF(PBLoan!L16="",0,+PBLoan!L16)</f>
        <v>0</v>
      </c>
      <c r="S3" s="11">
        <f>+Funding!AO23</f>
        <v>0</v>
      </c>
      <c r="T3" s="9">
        <f>+PBLoan!L12</f>
        <v>0</v>
      </c>
      <c r="U3" s="5" t="s">
        <v>82</v>
      </c>
      <c r="V3" s="5" t="s">
        <v>83</v>
      </c>
      <c r="W3" s="9">
        <f>+PBLoan!L39</f>
        <v>0</v>
      </c>
      <c r="X3" s="10" t="s">
        <v>81</v>
      </c>
      <c r="Y3" s="10"/>
      <c r="AB3" s="353" t="e">
        <f ca="1">IF(AD3="",0,+O1:AM3)</f>
        <v>#NAME?</v>
      </c>
      <c r="AC3" s="12" t="str">
        <f>+PBLoan!Q22</f>
        <v/>
      </c>
      <c r="AD3" s="353">
        <f>IF(+PBLoan!Q17="",0,+PBLoan!Q17)</f>
        <v>0</v>
      </c>
      <c r="AE3" s="11">
        <f>IF(PBLoan!Q16="",0,PBLoan!Q16)</f>
        <v>0</v>
      </c>
      <c r="AF3" s="11">
        <f>+Funding!AO24</f>
        <v>0</v>
      </c>
      <c r="AG3" s="9">
        <f>+PBLoan!Q12</f>
        <v>0</v>
      </c>
      <c r="AH3" s="5" t="s">
        <v>82</v>
      </c>
      <c r="AI3" s="5" t="s">
        <v>83</v>
      </c>
      <c r="AJ3" s="9">
        <f>+PBLoan!Q39</f>
        <v>0</v>
      </c>
      <c r="AK3" s="10" t="s">
        <v>81</v>
      </c>
      <c r="AL3" s="10"/>
    </row>
    <row r="4" spans="2:42" x14ac:dyDescent="0.2">
      <c r="B4" s="10"/>
      <c r="C4" s="5" t="s">
        <v>84</v>
      </c>
      <c r="D4" s="11"/>
      <c r="E4" s="11"/>
      <c r="F4" s="11"/>
      <c r="G4" s="9">
        <f>SUM(G2:G3)</f>
        <v>0</v>
      </c>
      <c r="H4" s="5" t="s">
        <v>85</v>
      </c>
      <c r="I4" s="10"/>
      <c r="J4" s="10"/>
      <c r="K4" s="10"/>
      <c r="L4" s="10"/>
      <c r="O4" s="10"/>
      <c r="P4" s="5" t="s">
        <v>84</v>
      </c>
      <c r="Q4" s="11"/>
      <c r="R4" s="11"/>
      <c r="S4" s="11"/>
      <c r="T4" s="9">
        <f>SUM(T2:T3)</f>
        <v>0</v>
      </c>
      <c r="U4" s="5" t="s">
        <v>85</v>
      </c>
      <c r="V4" s="10"/>
      <c r="W4" s="10"/>
      <c r="X4" s="10"/>
      <c r="Y4" s="10"/>
      <c r="AB4" s="10"/>
      <c r="AC4" s="5" t="s">
        <v>84</v>
      </c>
      <c r="AD4" s="11"/>
      <c r="AE4" s="11"/>
      <c r="AF4" s="11"/>
      <c r="AG4" s="9" t="e">
        <f>+AG2+AG3</f>
        <v>#VALUE!</v>
      </c>
      <c r="AH4" s="5" t="s">
        <v>85</v>
      </c>
      <c r="AI4" s="10"/>
      <c r="AJ4" s="10"/>
      <c r="AK4" s="10"/>
      <c r="AL4" s="10"/>
    </row>
    <row r="5" spans="2:42" x14ac:dyDescent="0.2">
      <c r="B5" s="11" t="str">
        <f>IF(B3&gt;0,F3-B3,"")</f>
        <v/>
      </c>
      <c r="C5" s="12">
        <f>+PBLoan!G23</f>
        <v>0.04</v>
      </c>
      <c r="D5" s="11"/>
      <c r="E5" s="11"/>
      <c r="F5" s="11"/>
      <c r="G5" s="10"/>
      <c r="H5" s="10"/>
      <c r="I5" s="10"/>
      <c r="J5" s="10"/>
      <c r="K5" s="10"/>
      <c r="L5" s="10"/>
      <c r="O5" s="11" t="str">
        <f>IF(O3&gt;0,S3-O3,"")</f>
        <v/>
      </c>
      <c r="P5" s="12" t="str">
        <f>+PBLoan!L23</f>
        <v/>
      </c>
      <c r="Q5" s="11"/>
      <c r="R5" s="11"/>
      <c r="S5" s="11"/>
      <c r="T5" s="10"/>
      <c r="U5" s="10"/>
      <c r="V5" s="10"/>
      <c r="W5" s="10"/>
      <c r="X5" s="10"/>
      <c r="Y5" s="10"/>
      <c r="AB5" s="11" t="e">
        <f ca="1">IF(AB3&gt;0,AF3-AB3,"")</f>
        <v>#NAME?</v>
      </c>
      <c r="AC5" s="12" t="str">
        <f>+PBLoan!Q23</f>
        <v/>
      </c>
      <c r="AD5" s="11"/>
      <c r="AE5" s="11"/>
      <c r="AF5" s="11"/>
      <c r="AG5" s="10"/>
      <c r="AH5" s="10"/>
      <c r="AI5" s="10"/>
      <c r="AJ5" s="10"/>
      <c r="AK5" s="10"/>
      <c r="AL5" s="10"/>
    </row>
    <row r="6" spans="2:42" x14ac:dyDescent="0.2">
      <c r="B6" s="11"/>
      <c r="C6" s="12"/>
      <c r="D6" s="11"/>
      <c r="E6" s="11"/>
      <c r="F6" s="11"/>
      <c r="G6" s="10"/>
      <c r="H6" s="10"/>
      <c r="I6" s="10"/>
      <c r="J6" s="10"/>
      <c r="K6" s="10"/>
      <c r="L6" s="10"/>
      <c r="O6" s="11"/>
      <c r="P6" s="12"/>
      <c r="Q6" s="11"/>
      <c r="R6" s="11"/>
      <c r="S6" s="11"/>
      <c r="T6" s="10"/>
      <c r="U6" s="10"/>
      <c r="V6" s="10"/>
      <c r="W6" s="10"/>
      <c r="X6" s="10"/>
      <c r="Y6" s="10"/>
      <c r="AB6" s="11"/>
      <c r="AC6" s="12"/>
      <c r="AD6" s="11"/>
      <c r="AE6" s="11"/>
      <c r="AF6" s="11"/>
      <c r="AG6" s="10"/>
      <c r="AH6" s="10"/>
      <c r="AI6" s="10"/>
      <c r="AJ6" s="10"/>
      <c r="AK6" s="10"/>
      <c r="AL6" s="10"/>
    </row>
    <row r="7" spans="2:42" ht="25.5" x14ac:dyDescent="0.2">
      <c r="B7" s="5" t="s">
        <v>72</v>
      </c>
      <c r="C7" s="5" t="s">
        <v>29</v>
      </c>
      <c r="D7" s="5" t="s">
        <v>86</v>
      </c>
      <c r="E7" s="5" t="s">
        <v>87</v>
      </c>
      <c r="F7" s="5" t="s">
        <v>88</v>
      </c>
      <c r="G7" s="5" t="s">
        <v>28</v>
      </c>
      <c r="H7" s="5" t="s">
        <v>89</v>
      </c>
      <c r="I7" s="5" t="s">
        <v>90</v>
      </c>
      <c r="J7" s="5" t="s">
        <v>91</v>
      </c>
      <c r="K7" s="13"/>
      <c r="L7" s="5" t="s">
        <v>31</v>
      </c>
      <c r="M7" s="5" t="s">
        <v>494</v>
      </c>
      <c r="O7" s="5" t="s">
        <v>72</v>
      </c>
      <c r="P7" s="5" t="s">
        <v>29</v>
      </c>
      <c r="Q7" s="5" t="s">
        <v>86</v>
      </c>
      <c r="R7" s="5" t="s">
        <v>87</v>
      </c>
      <c r="S7" s="5" t="s">
        <v>88</v>
      </c>
      <c r="T7" s="5" t="s">
        <v>28</v>
      </c>
      <c r="U7" s="5" t="s">
        <v>89</v>
      </c>
      <c r="V7" s="5" t="s">
        <v>90</v>
      </c>
      <c r="W7" s="5" t="s">
        <v>91</v>
      </c>
      <c r="X7" s="13"/>
      <c r="Y7" s="5" t="s">
        <v>31</v>
      </c>
      <c r="Z7" s="5" t="s">
        <v>494</v>
      </c>
      <c r="AB7" s="5" t="s">
        <v>72</v>
      </c>
      <c r="AC7" s="5" t="s">
        <v>29</v>
      </c>
      <c r="AD7" s="5" t="s">
        <v>86</v>
      </c>
      <c r="AE7" s="5" t="s">
        <v>87</v>
      </c>
      <c r="AF7" s="5" t="s">
        <v>88</v>
      </c>
      <c r="AG7" s="5" t="s">
        <v>28</v>
      </c>
      <c r="AH7" s="5" t="s">
        <v>89</v>
      </c>
      <c r="AI7" s="5" t="s">
        <v>90</v>
      </c>
      <c r="AJ7" s="5" t="s">
        <v>91</v>
      </c>
      <c r="AK7" s="13"/>
      <c r="AL7" s="5" t="s">
        <v>31</v>
      </c>
      <c r="AM7" s="5" t="s">
        <v>494</v>
      </c>
      <c r="AO7" s="5" t="s">
        <v>915</v>
      </c>
      <c r="AP7" s="5" t="s">
        <v>28</v>
      </c>
    </row>
    <row r="8" spans="2:42" x14ac:dyDescent="0.2">
      <c r="B8" s="14">
        <v>1</v>
      </c>
      <c r="C8" s="15">
        <f>IF($D$3&gt;=B8,+$C$3,+$C$5)</f>
        <v>0.04</v>
      </c>
      <c r="D8" s="14" t="str">
        <f>IF($D$3&gt;=B8,"FIX","VAR")</f>
        <v>VAR</v>
      </c>
      <c r="E8" s="14" t="str">
        <f>IF($E$3&gt;=B8,"IO","P&amp;I")</f>
        <v>P&amp;I</v>
      </c>
      <c r="F8" s="16" t="e">
        <f>IF(E8="IO",+G4*C8/12,PMT(C8/12,+($F$3-B8+1)*12,-G4))</f>
        <v>#NUM!</v>
      </c>
      <c r="G8" s="9" t="e">
        <f>FV(C8/12,12,F8,-G4)</f>
        <v>#NUM!</v>
      </c>
      <c r="H8" s="9" t="e">
        <f>+F8*12-I8</f>
        <v>#NUM!</v>
      </c>
      <c r="I8" s="9" t="e">
        <f>+G4-G8</f>
        <v>#NUM!</v>
      </c>
      <c r="J8" s="9">
        <f>+J2+J3</f>
        <v>200</v>
      </c>
      <c r="K8" s="10"/>
      <c r="L8" s="9" t="e">
        <f>SUM(H8:J8)</f>
        <v>#NUM!</v>
      </c>
      <c r="M8" s="313" t="e">
        <f>+L8</f>
        <v>#NUM!</v>
      </c>
      <c r="O8" s="14">
        <v>1</v>
      </c>
      <c r="P8" s="15" t="str">
        <f t="shared" ref="P8:P13" si="0">IF($Q$3&gt;=O8,+$P$3,+$P$5)</f>
        <v/>
      </c>
      <c r="Q8" s="14" t="str">
        <f t="shared" ref="Q8:Q14" si="1">IF($Q$3&gt;=O8,"FIX","VAR")</f>
        <v>VAR</v>
      </c>
      <c r="R8" s="14" t="str">
        <f t="shared" ref="R8:R14" si="2">IF($R$3&gt;=O8,"IO","P&amp;I")</f>
        <v>P&amp;I</v>
      </c>
      <c r="S8" s="16" t="e">
        <f>IF(R8="IO",+T4*P8/12,PMT(P8/12,+($S$3-O8+1)*12,-T4))</f>
        <v>#VALUE!</v>
      </c>
      <c r="T8" s="9" t="e">
        <f>FV(P8/12,12,S8,-T4)</f>
        <v>#VALUE!</v>
      </c>
      <c r="U8" s="9" t="e">
        <f>+S8*12-V8</f>
        <v>#VALUE!</v>
      </c>
      <c r="V8" s="9" t="e">
        <f>+T4-T8</f>
        <v>#VALUE!</v>
      </c>
      <c r="W8" s="9">
        <f>+W2+W3</f>
        <v>0</v>
      </c>
      <c r="X8" s="10"/>
      <c r="Y8" s="9" t="e">
        <f>SUM(U8:W8)</f>
        <v>#VALUE!</v>
      </c>
      <c r="Z8" s="313" t="e">
        <f>+Y8</f>
        <v>#VALUE!</v>
      </c>
      <c r="AB8" s="14">
        <v>1</v>
      </c>
      <c r="AC8" s="15" t="str">
        <f>IF($AD$3&gt;=AB8,+$AC$3,+$AC$5)</f>
        <v/>
      </c>
      <c r="AD8" s="14" t="str">
        <f>IF($AD$3&gt;=AB8,"FIX","VAR")</f>
        <v>VAR</v>
      </c>
      <c r="AE8" s="14" t="str">
        <f>IF($AE$3&gt;=AB8,"IO","P&amp;I")</f>
        <v>P&amp;I</v>
      </c>
      <c r="AF8" s="16" t="e">
        <f>IF(AE8="IO",+AG4*AC8/12,PMT(AC8/12,+($AF$3-AB8+1)*12,-AG4))</f>
        <v>#VALUE!</v>
      </c>
      <c r="AG8" s="9" t="e">
        <f>FV(AC8/12,12,AF8,-AG4)</f>
        <v>#VALUE!</v>
      </c>
      <c r="AH8" s="9" t="e">
        <f>+AF8*12-AI8</f>
        <v>#VALUE!</v>
      </c>
      <c r="AI8" s="9" t="e">
        <f>+AG4-AG8</f>
        <v>#VALUE!</v>
      </c>
      <c r="AJ8" s="9">
        <f>+AJ2+AJ3</f>
        <v>0</v>
      </c>
      <c r="AK8" s="10"/>
      <c r="AL8" s="9" t="e">
        <f>SUM(AH8:AJ8)</f>
        <v>#VALUE!</v>
      </c>
      <c r="AM8" s="313" t="e">
        <f>+AL8</f>
        <v>#VALUE!</v>
      </c>
      <c r="AO8" s="9" t="e">
        <f>F8+S8+AF8</f>
        <v>#NUM!</v>
      </c>
      <c r="AP8" s="9" t="e">
        <f>+AG8+G8+T8</f>
        <v>#VALUE!</v>
      </c>
    </row>
    <row r="9" spans="2:42" x14ac:dyDescent="0.2">
      <c r="B9" s="14">
        <v>2</v>
      </c>
      <c r="C9" s="15">
        <f t="shared" ref="C9:C37" si="3">IF($D$3&gt;=B9,+$C$3,+$C$5)</f>
        <v>0.04</v>
      </c>
      <c r="D9" s="14" t="str">
        <f t="shared" ref="D9:D37" si="4">IF($D$3&gt;=B9,"FIX","VAR")</f>
        <v>VAR</v>
      </c>
      <c r="E9" s="14" t="str">
        <f t="shared" ref="E9:E37" si="5">IF($E$3&gt;=B9,"IO","P&amp;I")</f>
        <v>P&amp;I</v>
      </c>
      <c r="F9" s="16" t="e">
        <f t="shared" ref="F9:F35" si="6">IF(E9="IO",+G8*C9/12,PMT(C9/12,+($F$3-B9+1)*12,-G8))</f>
        <v>#NUM!</v>
      </c>
      <c r="G9" s="9" t="e">
        <f t="shared" ref="G9:G33" si="7">IF(G8="","",IF(G8&gt;1,FV(C9/12,12,F9,-G8),""))</f>
        <v>#NUM!</v>
      </c>
      <c r="H9" s="9" t="e">
        <f>IF(G9="","",+F9*12-I9)</f>
        <v>#NUM!</v>
      </c>
      <c r="I9" s="9" t="e">
        <f>IF(G9="","",+G8-G9)</f>
        <v>#NUM!</v>
      </c>
      <c r="J9" s="9" t="str">
        <f>IF($F$3&gt;B8,+$J$3,"")</f>
        <v/>
      </c>
      <c r="K9" s="10"/>
      <c r="L9" s="9" t="e">
        <f>IF(G9="","",SUM(H9:J9))</f>
        <v>#NUM!</v>
      </c>
      <c r="M9" s="313" t="e">
        <f>IF(G9="","",L9+M8)</f>
        <v>#NUM!</v>
      </c>
      <c r="O9" s="14">
        <v>2</v>
      </c>
      <c r="P9" s="15" t="str">
        <f t="shared" si="0"/>
        <v/>
      </c>
      <c r="Q9" s="14" t="str">
        <f t="shared" si="1"/>
        <v>VAR</v>
      </c>
      <c r="R9" s="14" t="str">
        <f t="shared" si="2"/>
        <v>P&amp;I</v>
      </c>
      <c r="S9" s="16" t="e">
        <f>IF(R9="IO",+T8*P9/12,PMT(P9/12,+($S$3-O9+1)*12,-T8))</f>
        <v>#VALUE!</v>
      </c>
      <c r="T9" s="9" t="e">
        <f t="shared" ref="T9:T14" si="8">IF(T8="","",IF(T8&gt;1,FV(P9/12,12,S9,-T8),""))</f>
        <v>#VALUE!</v>
      </c>
      <c r="U9" s="9" t="e">
        <f>IF(T9="","",+S9*12-V9)</f>
        <v>#VALUE!</v>
      </c>
      <c r="V9" s="9" t="e">
        <f>IF(T9="","",+T8-T9)</f>
        <v>#VALUE!</v>
      </c>
      <c r="W9" s="9" t="str">
        <f>IF($S$3&gt;O8,+$W$3,"")</f>
        <v/>
      </c>
      <c r="X9" s="10"/>
      <c r="Y9" s="9" t="e">
        <f>IF(T9="","",SUM(U9:W9))</f>
        <v>#VALUE!</v>
      </c>
      <c r="Z9" s="313" t="e">
        <f>IF(T9="","",Y9+Z8)</f>
        <v>#VALUE!</v>
      </c>
      <c r="AB9" s="14">
        <v>2</v>
      </c>
      <c r="AC9" s="15" t="str">
        <f>IF($AD$3&gt;=AB9,+$AC$3,+$AC$5)</f>
        <v/>
      </c>
      <c r="AD9" s="14" t="str">
        <f>IF($AD$3&gt;=AB9,"FIX","VAR")</f>
        <v>VAR</v>
      </c>
      <c r="AE9" s="14" t="str">
        <f>IF($AE$3&gt;=AB9,"IO","P&amp;I")</f>
        <v>P&amp;I</v>
      </c>
      <c r="AF9" s="16" t="e">
        <f>IF(AE9="IO",+AG8*AC9/12,PMT(AC9/12,+($AF$3-AB9+1)*12,-AG8))</f>
        <v>#VALUE!</v>
      </c>
      <c r="AG9" s="9" t="e">
        <f>IF(AG8="","",IF(AG8&gt;1,FV(AC9/12,12,AF9,-AG8),""))</f>
        <v>#VALUE!</v>
      </c>
      <c r="AH9" s="9" t="e">
        <f>IF(AG9="","",+AF9*12-AI9)</f>
        <v>#VALUE!</v>
      </c>
      <c r="AI9" s="9" t="e">
        <f>IF(AG9="","",+AG8-AG9)</f>
        <v>#VALUE!</v>
      </c>
      <c r="AJ9" s="9" t="str">
        <f>IF($AF$3&gt;AB8,+$AJ$3,"")</f>
        <v/>
      </c>
      <c r="AK9" s="10"/>
      <c r="AL9" s="9" t="e">
        <f>IF(AG9="","",SUM(AH9:AJ9))</f>
        <v>#VALUE!</v>
      </c>
      <c r="AM9" s="313" t="e">
        <f>IF(AG9="","",AL9+AM8)</f>
        <v>#VALUE!</v>
      </c>
      <c r="AO9" s="9" t="e">
        <f t="shared" ref="AO9:AO37" si="9">F9+S9+AF9</f>
        <v>#NUM!</v>
      </c>
      <c r="AP9" s="9" t="e">
        <f t="shared" ref="AP9:AP37" si="10">+AG9+G9+T9</f>
        <v>#VALUE!</v>
      </c>
    </row>
    <row r="10" spans="2:42" x14ac:dyDescent="0.2">
      <c r="B10" s="14">
        <v>3</v>
      </c>
      <c r="C10" s="15">
        <f t="shared" si="3"/>
        <v>0.04</v>
      </c>
      <c r="D10" s="14" t="str">
        <f t="shared" si="4"/>
        <v>VAR</v>
      </c>
      <c r="E10" s="14" t="str">
        <f t="shared" si="5"/>
        <v>P&amp;I</v>
      </c>
      <c r="F10" s="16" t="e">
        <f t="shared" si="6"/>
        <v>#NUM!</v>
      </c>
      <c r="G10" s="9" t="e">
        <f t="shared" si="7"/>
        <v>#NUM!</v>
      </c>
      <c r="H10" s="9" t="e">
        <f t="shared" ref="H10:H37" si="11">IF(G10="","",+F10*12-I10)</f>
        <v>#NUM!</v>
      </c>
      <c r="I10" s="9" t="e">
        <f t="shared" ref="I10:I37" si="12">IF(G10="","",+G9-G10)</f>
        <v>#NUM!</v>
      </c>
      <c r="J10" s="9" t="str">
        <f t="shared" ref="J10:J37" si="13">IF($F$3&gt;B9,+$J$3,"")</f>
        <v/>
      </c>
      <c r="K10" s="10"/>
      <c r="L10" s="9" t="e">
        <f t="shared" ref="L10:L37" si="14">IF(G10="","",SUM(H10:J10))</f>
        <v>#NUM!</v>
      </c>
      <c r="M10" s="313" t="e">
        <f t="shared" ref="M10:M37" si="15">IF(G10="","",L10+M9)</f>
        <v>#NUM!</v>
      </c>
      <c r="O10" s="14">
        <v>3</v>
      </c>
      <c r="P10" s="15" t="str">
        <f t="shared" si="0"/>
        <v/>
      </c>
      <c r="Q10" s="14" t="str">
        <f t="shared" si="1"/>
        <v>VAR</v>
      </c>
      <c r="R10" s="14" t="str">
        <f t="shared" si="2"/>
        <v>P&amp;I</v>
      </c>
      <c r="S10" s="16" t="e">
        <f>IF(R10="IO",+T9*P10/12,PMT(P10/12,+($S$3-O10+1)*12,-T9))</f>
        <v>#VALUE!</v>
      </c>
      <c r="T10" s="9" t="e">
        <f t="shared" si="8"/>
        <v>#VALUE!</v>
      </c>
      <c r="U10" s="9" t="e">
        <f>IF(T10="","",+S10*12-V10)</f>
        <v>#VALUE!</v>
      </c>
      <c r="V10" s="9" t="e">
        <f>IF(T10="","",+T9-T10)</f>
        <v>#VALUE!</v>
      </c>
      <c r="W10" s="9" t="str">
        <f t="shared" ref="W10:W37" si="16">IF($S$3&gt;O9,+$W$3,"")</f>
        <v/>
      </c>
      <c r="X10" s="10"/>
      <c r="Y10" s="9" t="e">
        <f>IF(T10="","",SUM(U10:W10))</f>
        <v>#VALUE!</v>
      </c>
      <c r="Z10" s="313" t="e">
        <f>IF(T10="","",Y10+Z9)</f>
        <v>#VALUE!</v>
      </c>
      <c r="AB10" s="14">
        <v>3</v>
      </c>
      <c r="AC10" s="15" t="str">
        <f t="shared" ref="AC10:AC37" si="17">IF($AD$3&gt;=AB10,+$AC$3,+$AC$5)</f>
        <v/>
      </c>
      <c r="AD10" s="14" t="str">
        <f t="shared" ref="AD10:AD37" si="18">IF($AD$3&gt;=AB10,"FIX","VAR")</f>
        <v>VAR</v>
      </c>
      <c r="AE10" s="14" t="str">
        <f t="shared" ref="AE10:AE37" si="19">IF($AE$3&gt;=AB10,"IO","P&amp;I")</f>
        <v>P&amp;I</v>
      </c>
      <c r="AF10" s="16" t="e">
        <f t="shared" ref="AF10:AF37" si="20">IF(AE10="IO",+AG9*AC10/12,PMT(AC10/12,+($AF$3-AB10+1)*12,-AG9))</f>
        <v>#VALUE!</v>
      </c>
      <c r="AG10" s="9" t="e">
        <f t="shared" ref="AG10:AG37" si="21">IF(AG9="","",IF(AG9&gt;1,FV(AC10/12,12,AF10,-AG9),""))</f>
        <v>#VALUE!</v>
      </c>
      <c r="AH10" s="9" t="e">
        <f t="shared" ref="AH10:AH37" si="22">IF(AG10="","",+AF10*12-AI10)</f>
        <v>#VALUE!</v>
      </c>
      <c r="AI10" s="9" t="e">
        <f t="shared" ref="AI10:AI37" si="23">IF(AG10="","",+AG9-AG10)</f>
        <v>#VALUE!</v>
      </c>
      <c r="AJ10" s="9" t="str">
        <f t="shared" ref="AJ10:AJ37" si="24">IF($AF$3&gt;AB9,+$AJ$3,"")</f>
        <v/>
      </c>
      <c r="AK10" s="10"/>
      <c r="AL10" s="9" t="e">
        <f t="shared" ref="AL10:AL37" si="25">IF(AG10="","",SUM(AH10:AJ10))</f>
        <v>#VALUE!</v>
      </c>
      <c r="AM10" s="313" t="e">
        <f t="shared" ref="AM10:AM37" si="26">IF(AG10="","",AL10+AM9)</f>
        <v>#VALUE!</v>
      </c>
      <c r="AO10" s="9" t="e">
        <f t="shared" si="9"/>
        <v>#NUM!</v>
      </c>
      <c r="AP10" s="9" t="e">
        <f t="shared" si="10"/>
        <v>#VALUE!</v>
      </c>
    </row>
    <row r="11" spans="2:42" x14ac:dyDescent="0.2">
      <c r="B11" s="14">
        <v>4</v>
      </c>
      <c r="C11" s="15">
        <f t="shared" si="3"/>
        <v>0.04</v>
      </c>
      <c r="D11" s="14" t="str">
        <f t="shared" si="4"/>
        <v>VAR</v>
      </c>
      <c r="E11" s="14" t="str">
        <f t="shared" si="5"/>
        <v>P&amp;I</v>
      </c>
      <c r="F11" s="16" t="e">
        <f t="shared" si="6"/>
        <v>#NUM!</v>
      </c>
      <c r="G11" s="9" t="e">
        <f t="shared" si="7"/>
        <v>#NUM!</v>
      </c>
      <c r="H11" s="9" t="e">
        <f t="shared" si="11"/>
        <v>#NUM!</v>
      </c>
      <c r="I11" s="9" t="e">
        <f t="shared" si="12"/>
        <v>#NUM!</v>
      </c>
      <c r="J11" s="9" t="str">
        <f t="shared" si="13"/>
        <v/>
      </c>
      <c r="K11" s="10"/>
      <c r="L11" s="9" t="e">
        <f t="shared" si="14"/>
        <v>#NUM!</v>
      </c>
      <c r="M11" s="313" t="e">
        <f t="shared" si="15"/>
        <v>#NUM!</v>
      </c>
      <c r="O11" s="14">
        <v>4</v>
      </c>
      <c r="P11" s="15" t="str">
        <f t="shared" si="0"/>
        <v/>
      </c>
      <c r="Q11" s="14" t="str">
        <f t="shared" si="1"/>
        <v>VAR</v>
      </c>
      <c r="R11" s="14" t="str">
        <f t="shared" si="2"/>
        <v>P&amp;I</v>
      </c>
      <c r="S11" s="16" t="e">
        <f>IF(R11="IO",+T10*P11/12,PMT(P11/12,+($S$3-O11+1)*12,-T10))</f>
        <v>#VALUE!</v>
      </c>
      <c r="T11" s="9" t="e">
        <f t="shared" si="8"/>
        <v>#VALUE!</v>
      </c>
      <c r="U11" s="9" t="e">
        <f>IF(T11="","",+S11*12-V11)</f>
        <v>#VALUE!</v>
      </c>
      <c r="V11" s="9" t="e">
        <f>IF(T11="","",+T10-T11)</f>
        <v>#VALUE!</v>
      </c>
      <c r="W11" s="9" t="str">
        <f t="shared" si="16"/>
        <v/>
      </c>
      <c r="X11" s="10"/>
      <c r="Y11" s="9" t="e">
        <f>IF(T11="","",SUM(U11:W11))</f>
        <v>#VALUE!</v>
      </c>
      <c r="Z11" s="313" t="e">
        <f>IF(T11="","",Y11+Z10)</f>
        <v>#VALUE!</v>
      </c>
      <c r="AB11" s="14">
        <v>4</v>
      </c>
      <c r="AC11" s="15" t="str">
        <f t="shared" si="17"/>
        <v/>
      </c>
      <c r="AD11" s="14" t="str">
        <f t="shared" si="18"/>
        <v>VAR</v>
      </c>
      <c r="AE11" s="14" t="str">
        <f t="shared" si="19"/>
        <v>P&amp;I</v>
      </c>
      <c r="AF11" s="16" t="e">
        <f t="shared" si="20"/>
        <v>#VALUE!</v>
      </c>
      <c r="AG11" s="9" t="e">
        <f t="shared" si="21"/>
        <v>#VALUE!</v>
      </c>
      <c r="AH11" s="9" t="e">
        <f t="shared" si="22"/>
        <v>#VALUE!</v>
      </c>
      <c r="AI11" s="9" t="e">
        <f t="shared" si="23"/>
        <v>#VALUE!</v>
      </c>
      <c r="AJ11" s="9" t="str">
        <f t="shared" si="24"/>
        <v/>
      </c>
      <c r="AK11" s="10"/>
      <c r="AL11" s="9" t="e">
        <f t="shared" si="25"/>
        <v>#VALUE!</v>
      </c>
      <c r="AM11" s="313" t="e">
        <f t="shared" si="26"/>
        <v>#VALUE!</v>
      </c>
      <c r="AO11" s="9" t="e">
        <f t="shared" si="9"/>
        <v>#NUM!</v>
      </c>
      <c r="AP11" s="9" t="e">
        <f t="shared" si="10"/>
        <v>#VALUE!</v>
      </c>
    </row>
    <row r="12" spans="2:42" x14ac:dyDescent="0.2">
      <c r="B12" s="14">
        <v>5</v>
      </c>
      <c r="C12" s="15">
        <f t="shared" si="3"/>
        <v>0.04</v>
      </c>
      <c r="D12" s="14" t="str">
        <f t="shared" si="4"/>
        <v>VAR</v>
      </c>
      <c r="E12" s="14" t="str">
        <f t="shared" si="5"/>
        <v>P&amp;I</v>
      </c>
      <c r="F12" s="16" t="e">
        <f t="shared" si="6"/>
        <v>#NUM!</v>
      </c>
      <c r="G12" s="9" t="e">
        <f t="shared" si="7"/>
        <v>#NUM!</v>
      </c>
      <c r="H12" s="9" t="e">
        <f t="shared" si="11"/>
        <v>#NUM!</v>
      </c>
      <c r="I12" s="9" t="e">
        <f t="shared" si="12"/>
        <v>#NUM!</v>
      </c>
      <c r="J12" s="9" t="str">
        <f t="shared" si="13"/>
        <v/>
      </c>
      <c r="K12" s="10"/>
      <c r="L12" s="9" t="e">
        <f t="shared" si="14"/>
        <v>#NUM!</v>
      </c>
      <c r="M12" s="313" t="e">
        <f t="shared" si="15"/>
        <v>#NUM!</v>
      </c>
      <c r="O12" s="14">
        <v>5</v>
      </c>
      <c r="P12" s="15" t="str">
        <f t="shared" si="0"/>
        <v/>
      </c>
      <c r="Q12" s="14" t="str">
        <f t="shared" si="1"/>
        <v>VAR</v>
      </c>
      <c r="R12" s="14" t="str">
        <f t="shared" si="2"/>
        <v>P&amp;I</v>
      </c>
      <c r="S12" s="16" t="e">
        <f>IF(R12="IO",+T11*P12/12,PMT(P12/12,+($S$3-O12+1)*12,-T11))</f>
        <v>#VALUE!</v>
      </c>
      <c r="T12" s="9" t="e">
        <f t="shared" si="8"/>
        <v>#VALUE!</v>
      </c>
      <c r="U12" s="9" t="e">
        <f>IF(T12="","",+S12*12-V12)</f>
        <v>#VALUE!</v>
      </c>
      <c r="V12" s="9" t="e">
        <f>IF(T12="","",+T11-T12)</f>
        <v>#VALUE!</v>
      </c>
      <c r="W12" s="9" t="str">
        <f t="shared" si="16"/>
        <v/>
      </c>
      <c r="X12" s="10"/>
      <c r="Y12" s="9" t="e">
        <f>IF(T12="","",SUM(U12:W12))</f>
        <v>#VALUE!</v>
      </c>
      <c r="Z12" s="313" t="e">
        <f>IF(T12="","",Y12+Z11)</f>
        <v>#VALUE!</v>
      </c>
      <c r="AB12" s="14">
        <v>5</v>
      </c>
      <c r="AC12" s="15" t="str">
        <f t="shared" si="17"/>
        <v/>
      </c>
      <c r="AD12" s="14" t="str">
        <f t="shared" si="18"/>
        <v>VAR</v>
      </c>
      <c r="AE12" s="14" t="str">
        <f t="shared" si="19"/>
        <v>P&amp;I</v>
      </c>
      <c r="AF12" s="16" t="e">
        <f t="shared" si="20"/>
        <v>#VALUE!</v>
      </c>
      <c r="AG12" s="9" t="e">
        <f t="shared" si="21"/>
        <v>#VALUE!</v>
      </c>
      <c r="AH12" s="9" t="e">
        <f t="shared" si="22"/>
        <v>#VALUE!</v>
      </c>
      <c r="AI12" s="9" t="e">
        <f t="shared" si="23"/>
        <v>#VALUE!</v>
      </c>
      <c r="AJ12" s="9" t="str">
        <f t="shared" si="24"/>
        <v/>
      </c>
      <c r="AK12" s="10"/>
      <c r="AL12" s="9" t="e">
        <f t="shared" si="25"/>
        <v>#VALUE!</v>
      </c>
      <c r="AM12" s="313" t="e">
        <f t="shared" si="26"/>
        <v>#VALUE!</v>
      </c>
      <c r="AO12" s="9" t="e">
        <f t="shared" si="9"/>
        <v>#NUM!</v>
      </c>
      <c r="AP12" s="9" t="e">
        <f t="shared" si="10"/>
        <v>#VALUE!</v>
      </c>
    </row>
    <row r="13" spans="2:42" x14ac:dyDescent="0.2">
      <c r="B13" s="14">
        <v>6</v>
      </c>
      <c r="C13" s="15">
        <f t="shared" si="3"/>
        <v>0.04</v>
      </c>
      <c r="D13" s="14" t="str">
        <f t="shared" si="4"/>
        <v>VAR</v>
      </c>
      <c r="E13" s="14" t="str">
        <f t="shared" si="5"/>
        <v>P&amp;I</v>
      </c>
      <c r="F13" s="16" t="e">
        <f t="shared" si="6"/>
        <v>#NUM!</v>
      </c>
      <c r="G13" s="9" t="e">
        <f t="shared" si="7"/>
        <v>#NUM!</v>
      </c>
      <c r="H13" s="9" t="e">
        <f t="shared" si="11"/>
        <v>#NUM!</v>
      </c>
      <c r="I13" s="9" t="e">
        <f t="shared" si="12"/>
        <v>#NUM!</v>
      </c>
      <c r="J13" s="9" t="str">
        <f t="shared" si="13"/>
        <v/>
      </c>
      <c r="K13" s="10"/>
      <c r="L13" s="9" t="e">
        <f t="shared" si="14"/>
        <v>#NUM!</v>
      </c>
      <c r="M13" s="313" t="e">
        <f t="shared" si="15"/>
        <v>#NUM!</v>
      </c>
      <c r="N13" s="17"/>
      <c r="O13" s="14">
        <v>6</v>
      </c>
      <c r="P13" s="15" t="str">
        <f t="shared" si="0"/>
        <v/>
      </c>
      <c r="Q13" s="14" t="str">
        <f t="shared" si="1"/>
        <v>VAR</v>
      </c>
      <c r="R13" s="14" t="str">
        <f t="shared" si="2"/>
        <v>P&amp;I</v>
      </c>
      <c r="S13" s="16" t="e">
        <f>IF(R13="IO",+T12*P13/12,PMT(P13/12,+($S$3-O13+1)*12,-T12))</f>
        <v>#VALUE!</v>
      </c>
      <c r="T13" s="9" t="e">
        <f t="shared" si="8"/>
        <v>#VALUE!</v>
      </c>
      <c r="U13" s="9" t="e">
        <f>IF(T13="","",+S13*12-V13)</f>
        <v>#VALUE!</v>
      </c>
      <c r="V13" s="9" t="e">
        <f>IF(T13="","",+T12-T13)</f>
        <v>#VALUE!</v>
      </c>
      <c r="W13" s="9" t="str">
        <f t="shared" si="16"/>
        <v/>
      </c>
      <c r="X13" s="10"/>
      <c r="Y13" s="9" t="e">
        <f>IF(T13="","",SUM(U13:W13))</f>
        <v>#VALUE!</v>
      </c>
      <c r="Z13" s="313" t="e">
        <f>IF(T13="","",Y13+Z12)</f>
        <v>#VALUE!</v>
      </c>
      <c r="AB13" s="14">
        <v>6</v>
      </c>
      <c r="AC13" s="15" t="str">
        <f t="shared" si="17"/>
        <v/>
      </c>
      <c r="AD13" s="14" t="str">
        <f t="shared" si="18"/>
        <v>VAR</v>
      </c>
      <c r="AE13" s="14" t="str">
        <f t="shared" si="19"/>
        <v>P&amp;I</v>
      </c>
      <c r="AF13" s="16" t="e">
        <f t="shared" si="20"/>
        <v>#VALUE!</v>
      </c>
      <c r="AG13" s="9" t="e">
        <f t="shared" si="21"/>
        <v>#VALUE!</v>
      </c>
      <c r="AH13" s="9" t="e">
        <f t="shared" si="22"/>
        <v>#VALUE!</v>
      </c>
      <c r="AI13" s="9" t="e">
        <f t="shared" si="23"/>
        <v>#VALUE!</v>
      </c>
      <c r="AJ13" s="9" t="str">
        <f t="shared" si="24"/>
        <v/>
      </c>
      <c r="AK13" s="10"/>
      <c r="AL13" s="9" t="e">
        <f t="shared" si="25"/>
        <v>#VALUE!</v>
      </c>
      <c r="AM13" s="313" t="e">
        <f t="shared" si="26"/>
        <v>#VALUE!</v>
      </c>
      <c r="AO13" s="9" t="e">
        <f t="shared" si="9"/>
        <v>#NUM!</v>
      </c>
      <c r="AP13" s="9" t="e">
        <f t="shared" si="10"/>
        <v>#VALUE!</v>
      </c>
    </row>
    <row r="14" spans="2:42" x14ac:dyDescent="0.2">
      <c r="B14" s="14">
        <v>7</v>
      </c>
      <c r="C14" s="15">
        <f t="shared" si="3"/>
        <v>0.04</v>
      </c>
      <c r="D14" s="14" t="str">
        <f t="shared" si="4"/>
        <v>VAR</v>
      </c>
      <c r="E14" s="14" t="str">
        <f t="shared" si="5"/>
        <v>P&amp;I</v>
      </c>
      <c r="F14" s="16" t="e">
        <f t="shared" si="6"/>
        <v>#NUM!</v>
      </c>
      <c r="G14" s="9" t="e">
        <f t="shared" si="7"/>
        <v>#NUM!</v>
      </c>
      <c r="H14" s="9" t="e">
        <f t="shared" si="11"/>
        <v>#NUM!</v>
      </c>
      <c r="I14" s="9" t="e">
        <f t="shared" si="12"/>
        <v>#NUM!</v>
      </c>
      <c r="J14" s="9" t="str">
        <f t="shared" si="13"/>
        <v/>
      </c>
      <c r="K14" s="10"/>
      <c r="L14" s="9" t="e">
        <f t="shared" si="14"/>
        <v>#NUM!</v>
      </c>
      <c r="M14" s="313" t="e">
        <f t="shared" si="15"/>
        <v>#NUM!</v>
      </c>
      <c r="O14" s="14">
        <v>7</v>
      </c>
      <c r="P14" s="15" t="str">
        <f t="shared" ref="P14:P37" si="27">IF($Q$3&gt;=O14,+$P$3,+$P$5)</f>
        <v/>
      </c>
      <c r="Q14" s="14" t="str">
        <f t="shared" si="1"/>
        <v>VAR</v>
      </c>
      <c r="R14" s="14" t="str">
        <f t="shared" si="2"/>
        <v>P&amp;I</v>
      </c>
      <c r="S14" s="16" t="e">
        <f t="shared" ref="S14:S37" si="28">IF(R14="IO",+T13*P14/12,PMT(P14/12,+($S$3-O14+1)*12,-T13))</f>
        <v>#VALUE!</v>
      </c>
      <c r="T14" s="9" t="e">
        <f t="shared" si="8"/>
        <v>#VALUE!</v>
      </c>
      <c r="U14" s="9" t="e">
        <f t="shared" ref="U14:U37" si="29">IF(T14="","",+S14*12-V14)</f>
        <v>#VALUE!</v>
      </c>
      <c r="V14" s="9" t="e">
        <f t="shared" ref="V14:V37" si="30">IF(T14="","",+T13-T14)</f>
        <v>#VALUE!</v>
      </c>
      <c r="W14" s="9" t="str">
        <f t="shared" si="16"/>
        <v/>
      </c>
      <c r="X14" s="10"/>
      <c r="Y14" s="9" t="e">
        <f t="shared" ref="Y14:Y37" si="31">IF(T14="","",SUM(U14:W14))</f>
        <v>#VALUE!</v>
      </c>
      <c r="Z14" s="313" t="e">
        <f t="shared" ref="Z14:Z37" si="32">IF(T14="","",Y14+Z13)</f>
        <v>#VALUE!</v>
      </c>
      <c r="AB14" s="14">
        <v>7</v>
      </c>
      <c r="AC14" s="15" t="str">
        <f t="shared" si="17"/>
        <v/>
      </c>
      <c r="AD14" s="14" t="str">
        <f t="shared" si="18"/>
        <v>VAR</v>
      </c>
      <c r="AE14" s="14" t="str">
        <f t="shared" si="19"/>
        <v>P&amp;I</v>
      </c>
      <c r="AF14" s="16" t="e">
        <f t="shared" si="20"/>
        <v>#VALUE!</v>
      </c>
      <c r="AG14" s="9" t="e">
        <f t="shared" si="21"/>
        <v>#VALUE!</v>
      </c>
      <c r="AH14" s="9" t="e">
        <f t="shared" si="22"/>
        <v>#VALUE!</v>
      </c>
      <c r="AI14" s="9" t="e">
        <f t="shared" si="23"/>
        <v>#VALUE!</v>
      </c>
      <c r="AJ14" s="9" t="str">
        <f t="shared" si="24"/>
        <v/>
      </c>
      <c r="AK14" s="10"/>
      <c r="AL14" s="9" t="e">
        <f t="shared" si="25"/>
        <v>#VALUE!</v>
      </c>
      <c r="AM14" s="313" t="e">
        <f t="shared" si="26"/>
        <v>#VALUE!</v>
      </c>
      <c r="AO14" s="9" t="e">
        <f t="shared" si="9"/>
        <v>#NUM!</v>
      </c>
      <c r="AP14" s="9" t="e">
        <f t="shared" si="10"/>
        <v>#VALUE!</v>
      </c>
    </row>
    <row r="15" spans="2:42" x14ac:dyDescent="0.2">
      <c r="B15" s="14">
        <v>8</v>
      </c>
      <c r="C15" s="15">
        <f t="shared" si="3"/>
        <v>0.04</v>
      </c>
      <c r="D15" s="14" t="str">
        <f t="shared" si="4"/>
        <v>VAR</v>
      </c>
      <c r="E15" s="14" t="str">
        <f t="shared" si="5"/>
        <v>P&amp;I</v>
      </c>
      <c r="F15" s="16" t="e">
        <f t="shared" si="6"/>
        <v>#NUM!</v>
      </c>
      <c r="G15" s="9" t="e">
        <f t="shared" si="7"/>
        <v>#NUM!</v>
      </c>
      <c r="H15" s="9" t="e">
        <f t="shared" si="11"/>
        <v>#NUM!</v>
      </c>
      <c r="I15" s="9" t="e">
        <f t="shared" si="12"/>
        <v>#NUM!</v>
      </c>
      <c r="J15" s="9" t="str">
        <f t="shared" si="13"/>
        <v/>
      </c>
      <c r="K15" s="10"/>
      <c r="L15" s="9" t="e">
        <f t="shared" si="14"/>
        <v>#NUM!</v>
      </c>
      <c r="M15" s="313" t="e">
        <f t="shared" si="15"/>
        <v>#NUM!</v>
      </c>
      <c r="O15" s="14">
        <v>8</v>
      </c>
      <c r="P15" s="15" t="str">
        <f t="shared" si="27"/>
        <v/>
      </c>
      <c r="Q15" s="14" t="str">
        <f t="shared" ref="Q15:Q37" si="33">IF($Q$3&gt;=O15,"FIX","VAR")</f>
        <v>VAR</v>
      </c>
      <c r="R15" s="14" t="str">
        <f t="shared" ref="R15:R37" si="34">IF($R$3&gt;=O15,"IO","P&amp;I")</f>
        <v>P&amp;I</v>
      </c>
      <c r="S15" s="16" t="e">
        <f t="shared" si="28"/>
        <v>#VALUE!</v>
      </c>
      <c r="T15" s="9" t="e">
        <f t="shared" ref="T15:T37" si="35">IF(T14="","",IF(T14&gt;1,FV(P15/12,12,S15,-T14),""))</f>
        <v>#VALUE!</v>
      </c>
      <c r="U15" s="9" t="e">
        <f t="shared" si="29"/>
        <v>#VALUE!</v>
      </c>
      <c r="V15" s="9" t="e">
        <f t="shared" si="30"/>
        <v>#VALUE!</v>
      </c>
      <c r="W15" s="9" t="str">
        <f t="shared" si="16"/>
        <v/>
      </c>
      <c r="X15" s="10"/>
      <c r="Y15" s="9" t="e">
        <f t="shared" si="31"/>
        <v>#VALUE!</v>
      </c>
      <c r="Z15" s="313" t="e">
        <f t="shared" si="32"/>
        <v>#VALUE!</v>
      </c>
      <c r="AB15" s="14">
        <v>8</v>
      </c>
      <c r="AC15" s="15" t="str">
        <f t="shared" si="17"/>
        <v/>
      </c>
      <c r="AD15" s="14" t="str">
        <f t="shared" si="18"/>
        <v>VAR</v>
      </c>
      <c r="AE15" s="14" t="str">
        <f t="shared" si="19"/>
        <v>P&amp;I</v>
      </c>
      <c r="AF15" s="16" t="e">
        <f t="shared" si="20"/>
        <v>#VALUE!</v>
      </c>
      <c r="AG15" s="9" t="e">
        <f t="shared" si="21"/>
        <v>#VALUE!</v>
      </c>
      <c r="AH15" s="9" t="e">
        <f t="shared" si="22"/>
        <v>#VALUE!</v>
      </c>
      <c r="AI15" s="9" t="e">
        <f t="shared" si="23"/>
        <v>#VALUE!</v>
      </c>
      <c r="AJ15" s="9" t="str">
        <f t="shared" si="24"/>
        <v/>
      </c>
      <c r="AK15" s="10"/>
      <c r="AL15" s="9" t="e">
        <f t="shared" si="25"/>
        <v>#VALUE!</v>
      </c>
      <c r="AM15" s="313" t="e">
        <f t="shared" si="26"/>
        <v>#VALUE!</v>
      </c>
      <c r="AO15" s="9" t="e">
        <f t="shared" si="9"/>
        <v>#NUM!</v>
      </c>
      <c r="AP15" s="9" t="e">
        <f t="shared" si="10"/>
        <v>#VALUE!</v>
      </c>
    </row>
    <row r="16" spans="2:42" x14ac:dyDescent="0.2">
      <c r="B16" s="14">
        <v>9</v>
      </c>
      <c r="C16" s="15">
        <f t="shared" si="3"/>
        <v>0.04</v>
      </c>
      <c r="D16" s="14" t="str">
        <f t="shared" si="4"/>
        <v>VAR</v>
      </c>
      <c r="E16" s="14" t="str">
        <f t="shared" si="5"/>
        <v>P&amp;I</v>
      </c>
      <c r="F16" s="16" t="e">
        <f t="shared" si="6"/>
        <v>#NUM!</v>
      </c>
      <c r="G16" s="9" t="e">
        <f t="shared" si="7"/>
        <v>#NUM!</v>
      </c>
      <c r="H16" s="9" t="e">
        <f t="shared" si="11"/>
        <v>#NUM!</v>
      </c>
      <c r="I16" s="9" t="e">
        <f t="shared" si="12"/>
        <v>#NUM!</v>
      </c>
      <c r="J16" s="9" t="str">
        <f t="shared" si="13"/>
        <v/>
      </c>
      <c r="K16" s="10"/>
      <c r="L16" s="9" t="e">
        <f t="shared" si="14"/>
        <v>#NUM!</v>
      </c>
      <c r="M16" s="313" t="e">
        <f t="shared" si="15"/>
        <v>#NUM!</v>
      </c>
      <c r="O16" s="14">
        <v>9</v>
      </c>
      <c r="P16" s="15" t="str">
        <f t="shared" si="27"/>
        <v/>
      </c>
      <c r="Q16" s="14" t="str">
        <f t="shared" si="33"/>
        <v>VAR</v>
      </c>
      <c r="R16" s="14" t="str">
        <f t="shared" si="34"/>
        <v>P&amp;I</v>
      </c>
      <c r="S16" s="16" t="e">
        <f t="shared" si="28"/>
        <v>#VALUE!</v>
      </c>
      <c r="T16" s="9" t="e">
        <f t="shared" si="35"/>
        <v>#VALUE!</v>
      </c>
      <c r="U16" s="9" t="e">
        <f t="shared" si="29"/>
        <v>#VALUE!</v>
      </c>
      <c r="V16" s="9" t="e">
        <f t="shared" si="30"/>
        <v>#VALUE!</v>
      </c>
      <c r="W16" s="9" t="str">
        <f t="shared" si="16"/>
        <v/>
      </c>
      <c r="X16" s="10"/>
      <c r="Y16" s="9" t="e">
        <f t="shared" si="31"/>
        <v>#VALUE!</v>
      </c>
      <c r="Z16" s="313" t="e">
        <f t="shared" si="32"/>
        <v>#VALUE!</v>
      </c>
      <c r="AB16" s="14">
        <v>9</v>
      </c>
      <c r="AC16" s="15" t="str">
        <f t="shared" si="17"/>
        <v/>
      </c>
      <c r="AD16" s="14" t="str">
        <f t="shared" si="18"/>
        <v>VAR</v>
      </c>
      <c r="AE16" s="14" t="str">
        <f t="shared" si="19"/>
        <v>P&amp;I</v>
      </c>
      <c r="AF16" s="16" t="e">
        <f t="shared" si="20"/>
        <v>#VALUE!</v>
      </c>
      <c r="AG16" s="9" t="e">
        <f t="shared" si="21"/>
        <v>#VALUE!</v>
      </c>
      <c r="AH16" s="9" t="e">
        <f t="shared" si="22"/>
        <v>#VALUE!</v>
      </c>
      <c r="AI16" s="9" t="e">
        <f t="shared" si="23"/>
        <v>#VALUE!</v>
      </c>
      <c r="AJ16" s="9" t="str">
        <f t="shared" si="24"/>
        <v/>
      </c>
      <c r="AK16" s="10"/>
      <c r="AL16" s="9" t="e">
        <f t="shared" si="25"/>
        <v>#VALUE!</v>
      </c>
      <c r="AM16" s="313" t="e">
        <f t="shared" si="26"/>
        <v>#VALUE!</v>
      </c>
      <c r="AO16" s="9" t="e">
        <f t="shared" si="9"/>
        <v>#NUM!</v>
      </c>
      <c r="AP16" s="9" t="e">
        <f t="shared" si="10"/>
        <v>#VALUE!</v>
      </c>
    </row>
    <row r="17" spans="2:42" x14ac:dyDescent="0.2">
      <c r="B17" s="14">
        <v>10</v>
      </c>
      <c r="C17" s="15">
        <f t="shared" si="3"/>
        <v>0.04</v>
      </c>
      <c r="D17" s="14" t="str">
        <f t="shared" si="4"/>
        <v>VAR</v>
      </c>
      <c r="E17" s="14" t="str">
        <f t="shared" si="5"/>
        <v>P&amp;I</v>
      </c>
      <c r="F17" s="16" t="e">
        <f t="shared" si="6"/>
        <v>#NUM!</v>
      </c>
      <c r="G17" s="9" t="e">
        <f t="shared" si="7"/>
        <v>#NUM!</v>
      </c>
      <c r="H17" s="9" t="e">
        <f t="shared" si="11"/>
        <v>#NUM!</v>
      </c>
      <c r="I17" s="9" t="e">
        <f t="shared" si="12"/>
        <v>#NUM!</v>
      </c>
      <c r="J17" s="9" t="str">
        <f t="shared" si="13"/>
        <v/>
      </c>
      <c r="K17" s="10"/>
      <c r="L17" s="9" t="e">
        <f t="shared" si="14"/>
        <v>#NUM!</v>
      </c>
      <c r="M17" s="313" t="e">
        <f t="shared" si="15"/>
        <v>#NUM!</v>
      </c>
      <c r="O17" s="14">
        <v>10</v>
      </c>
      <c r="P17" s="15" t="str">
        <f t="shared" si="27"/>
        <v/>
      </c>
      <c r="Q17" s="14" t="str">
        <f t="shared" si="33"/>
        <v>VAR</v>
      </c>
      <c r="R17" s="14" t="str">
        <f t="shared" si="34"/>
        <v>P&amp;I</v>
      </c>
      <c r="S17" s="16" t="e">
        <f t="shared" si="28"/>
        <v>#VALUE!</v>
      </c>
      <c r="T17" s="9" t="e">
        <f t="shared" si="35"/>
        <v>#VALUE!</v>
      </c>
      <c r="U17" s="9" t="e">
        <f t="shared" si="29"/>
        <v>#VALUE!</v>
      </c>
      <c r="V17" s="9" t="e">
        <f t="shared" si="30"/>
        <v>#VALUE!</v>
      </c>
      <c r="W17" s="9" t="str">
        <f t="shared" si="16"/>
        <v/>
      </c>
      <c r="X17" s="10"/>
      <c r="Y17" s="9" t="e">
        <f t="shared" si="31"/>
        <v>#VALUE!</v>
      </c>
      <c r="Z17" s="313" t="e">
        <f t="shared" si="32"/>
        <v>#VALUE!</v>
      </c>
      <c r="AB17" s="14">
        <v>10</v>
      </c>
      <c r="AC17" s="15" t="str">
        <f t="shared" si="17"/>
        <v/>
      </c>
      <c r="AD17" s="14" t="str">
        <f t="shared" si="18"/>
        <v>VAR</v>
      </c>
      <c r="AE17" s="14" t="str">
        <f t="shared" si="19"/>
        <v>P&amp;I</v>
      </c>
      <c r="AF17" s="16" t="e">
        <f t="shared" si="20"/>
        <v>#VALUE!</v>
      </c>
      <c r="AG17" s="9" t="e">
        <f t="shared" si="21"/>
        <v>#VALUE!</v>
      </c>
      <c r="AH17" s="9" t="e">
        <f t="shared" si="22"/>
        <v>#VALUE!</v>
      </c>
      <c r="AI17" s="9" t="e">
        <f t="shared" si="23"/>
        <v>#VALUE!</v>
      </c>
      <c r="AJ17" s="9" t="str">
        <f t="shared" si="24"/>
        <v/>
      </c>
      <c r="AK17" s="10"/>
      <c r="AL17" s="9" t="e">
        <f t="shared" si="25"/>
        <v>#VALUE!</v>
      </c>
      <c r="AM17" s="313" t="e">
        <f t="shared" si="26"/>
        <v>#VALUE!</v>
      </c>
      <c r="AO17" s="9" t="e">
        <f t="shared" si="9"/>
        <v>#NUM!</v>
      </c>
      <c r="AP17" s="9" t="e">
        <f t="shared" si="10"/>
        <v>#VALUE!</v>
      </c>
    </row>
    <row r="18" spans="2:42" x14ac:dyDescent="0.2">
      <c r="B18" s="14">
        <v>11</v>
      </c>
      <c r="C18" s="15">
        <f t="shared" si="3"/>
        <v>0.04</v>
      </c>
      <c r="D18" s="14" t="str">
        <f t="shared" si="4"/>
        <v>VAR</v>
      </c>
      <c r="E18" s="14" t="str">
        <f t="shared" si="5"/>
        <v>P&amp;I</v>
      </c>
      <c r="F18" s="16" t="e">
        <f t="shared" si="6"/>
        <v>#NUM!</v>
      </c>
      <c r="G18" s="9" t="e">
        <f t="shared" si="7"/>
        <v>#NUM!</v>
      </c>
      <c r="H18" s="9" t="e">
        <f t="shared" si="11"/>
        <v>#NUM!</v>
      </c>
      <c r="I18" s="9" t="e">
        <f t="shared" si="12"/>
        <v>#NUM!</v>
      </c>
      <c r="J18" s="9" t="str">
        <f t="shared" si="13"/>
        <v/>
      </c>
      <c r="K18" s="10"/>
      <c r="L18" s="9" t="e">
        <f t="shared" si="14"/>
        <v>#NUM!</v>
      </c>
      <c r="M18" s="313" t="e">
        <f t="shared" si="15"/>
        <v>#NUM!</v>
      </c>
      <c r="O18" s="14">
        <v>11</v>
      </c>
      <c r="P18" s="15" t="str">
        <f t="shared" si="27"/>
        <v/>
      </c>
      <c r="Q18" s="14" t="str">
        <f t="shared" si="33"/>
        <v>VAR</v>
      </c>
      <c r="R18" s="14" t="str">
        <f t="shared" si="34"/>
        <v>P&amp;I</v>
      </c>
      <c r="S18" s="16" t="e">
        <f t="shared" si="28"/>
        <v>#VALUE!</v>
      </c>
      <c r="T18" s="9" t="e">
        <f t="shared" si="35"/>
        <v>#VALUE!</v>
      </c>
      <c r="U18" s="9" t="e">
        <f t="shared" si="29"/>
        <v>#VALUE!</v>
      </c>
      <c r="V18" s="9" t="e">
        <f t="shared" si="30"/>
        <v>#VALUE!</v>
      </c>
      <c r="W18" s="9" t="str">
        <f t="shared" si="16"/>
        <v/>
      </c>
      <c r="X18" s="10"/>
      <c r="Y18" s="9" t="e">
        <f t="shared" si="31"/>
        <v>#VALUE!</v>
      </c>
      <c r="Z18" s="313" t="e">
        <f t="shared" si="32"/>
        <v>#VALUE!</v>
      </c>
      <c r="AB18" s="14">
        <v>11</v>
      </c>
      <c r="AC18" s="15" t="str">
        <f t="shared" si="17"/>
        <v/>
      </c>
      <c r="AD18" s="14" t="str">
        <f t="shared" si="18"/>
        <v>VAR</v>
      </c>
      <c r="AE18" s="14" t="str">
        <f t="shared" si="19"/>
        <v>P&amp;I</v>
      </c>
      <c r="AF18" s="16" t="e">
        <f t="shared" si="20"/>
        <v>#VALUE!</v>
      </c>
      <c r="AG18" s="9" t="e">
        <f t="shared" si="21"/>
        <v>#VALUE!</v>
      </c>
      <c r="AH18" s="9" t="e">
        <f t="shared" si="22"/>
        <v>#VALUE!</v>
      </c>
      <c r="AI18" s="9" t="e">
        <f t="shared" si="23"/>
        <v>#VALUE!</v>
      </c>
      <c r="AJ18" s="9" t="str">
        <f t="shared" si="24"/>
        <v/>
      </c>
      <c r="AK18" s="10"/>
      <c r="AL18" s="9" t="e">
        <f t="shared" si="25"/>
        <v>#VALUE!</v>
      </c>
      <c r="AM18" s="313" t="e">
        <f t="shared" si="26"/>
        <v>#VALUE!</v>
      </c>
      <c r="AO18" s="9" t="e">
        <f t="shared" si="9"/>
        <v>#NUM!</v>
      </c>
      <c r="AP18" s="9" t="e">
        <f t="shared" si="10"/>
        <v>#VALUE!</v>
      </c>
    </row>
    <row r="19" spans="2:42" x14ac:dyDescent="0.2">
      <c r="B19" s="14">
        <v>12</v>
      </c>
      <c r="C19" s="15">
        <f t="shared" si="3"/>
        <v>0.04</v>
      </c>
      <c r="D19" s="14" t="str">
        <f t="shared" si="4"/>
        <v>VAR</v>
      </c>
      <c r="E19" s="14" t="str">
        <f t="shared" si="5"/>
        <v>P&amp;I</v>
      </c>
      <c r="F19" s="16" t="e">
        <f t="shared" si="6"/>
        <v>#NUM!</v>
      </c>
      <c r="G19" s="9" t="e">
        <f t="shared" si="7"/>
        <v>#NUM!</v>
      </c>
      <c r="H19" s="9" t="e">
        <f t="shared" si="11"/>
        <v>#NUM!</v>
      </c>
      <c r="I19" s="9" t="e">
        <f t="shared" si="12"/>
        <v>#NUM!</v>
      </c>
      <c r="J19" s="9" t="str">
        <f t="shared" si="13"/>
        <v/>
      </c>
      <c r="K19" s="10"/>
      <c r="L19" s="9" t="e">
        <f t="shared" si="14"/>
        <v>#NUM!</v>
      </c>
      <c r="M19" s="313" t="e">
        <f t="shared" si="15"/>
        <v>#NUM!</v>
      </c>
      <c r="O19" s="14">
        <v>12</v>
      </c>
      <c r="P19" s="15" t="str">
        <f t="shared" si="27"/>
        <v/>
      </c>
      <c r="Q19" s="14" t="str">
        <f t="shared" si="33"/>
        <v>VAR</v>
      </c>
      <c r="R19" s="14" t="str">
        <f t="shared" si="34"/>
        <v>P&amp;I</v>
      </c>
      <c r="S19" s="16" t="e">
        <f t="shared" si="28"/>
        <v>#VALUE!</v>
      </c>
      <c r="T19" s="9" t="e">
        <f t="shared" si="35"/>
        <v>#VALUE!</v>
      </c>
      <c r="U19" s="9" t="e">
        <f t="shared" si="29"/>
        <v>#VALUE!</v>
      </c>
      <c r="V19" s="9" t="e">
        <f t="shared" si="30"/>
        <v>#VALUE!</v>
      </c>
      <c r="W19" s="9" t="str">
        <f t="shared" si="16"/>
        <v/>
      </c>
      <c r="X19" s="10"/>
      <c r="Y19" s="9" t="e">
        <f t="shared" si="31"/>
        <v>#VALUE!</v>
      </c>
      <c r="Z19" s="313" t="e">
        <f t="shared" si="32"/>
        <v>#VALUE!</v>
      </c>
      <c r="AB19" s="14">
        <v>12</v>
      </c>
      <c r="AC19" s="15" t="str">
        <f t="shared" si="17"/>
        <v/>
      </c>
      <c r="AD19" s="14" t="str">
        <f t="shared" si="18"/>
        <v>VAR</v>
      </c>
      <c r="AE19" s="14" t="str">
        <f t="shared" si="19"/>
        <v>P&amp;I</v>
      </c>
      <c r="AF19" s="16" t="e">
        <f t="shared" si="20"/>
        <v>#VALUE!</v>
      </c>
      <c r="AG19" s="9" t="e">
        <f t="shared" si="21"/>
        <v>#VALUE!</v>
      </c>
      <c r="AH19" s="9" t="e">
        <f t="shared" si="22"/>
        <v>#VALUE!</v>
      </c>
      <c r="AI19" s="9" t="e">
        <f t="shared" si="23"/>
        <v>#VALUE!</v>
      </c>
      <c r="AJ19" s="9" t="str">
        <f t="shared" si="24"/>
        <v/>
      </c>
      <c r="AK19" s="10"/>
      <c r="AL19" s="9" t="e">
        <f t="shared" si="25"/>
        <v>#VALUE!</v>
      </c>
      <c r="AM19" s="313" t="e">
        <f t="shared" si="26"/>
        <v>#VALUE!</v>
      </c>
      <c r="AO19" s="9" t="e">
        <f t="shared" si="9"/>
        <v>#NUM!</v>
      </c>
      <c r="AP19" s="9" t="e">
        <f t="shared" si="10"/>
        <v>#VALUE!</v>
      </c>
    </row>
    <row r="20" spans="2:42" x14ac:dyDescent="0.2">
      <c r="B20" s="14">
        <v>13</v>
      </c>
      <c r="C20" s="15">
        <f t="shared" si="3"/>
        <v>0.04</v>
      </c>
      <c r="D20" s="14" t="str">
        <f t="shared" si="4"/>
        <v>VAR</v>
      </c>
      <c r="E20" s="14" t="str">
        <f t="shared" si="5"/>
        <v>P&amp;I</v>
      </c>
      <c r="F20" s="16" t="e">
        <f t="shared" si="6"/>
        <v>#NUM!</v>
      </c>
      <c r="G20" s="9" t="e">
        <f t="shared" si="7"/>
        <v>#NUM!</v>
      </c>
      <c r="H20" s="9" t="e">
        <f t="shared" si="11"/>
        <v>#NUM!</v>
      </c>
      <c r="I20" s="9" t="e">
        <f t="shared" si="12"/>
        <v>#NUM!</v>
      </c>
      <c r="J20" s="9" t="str">
        <f t="shared" si="13"/>
        <v/>
      </c>
      <c r="K20" s="10"/>
      <c r="L20" s="9" t="e">
        <f t="shared" si="14"/>
        <v>#NUM!</v>
      </c>
      <c r="M20" s="313" t="e">
        <f t="shared" si="15"/>
        <v>#NUM!</v>
      </c>
      <c r="O20" s="14">
        <v>13</v>
      </c>
      <c r="P20" s="15" t="str">
        <f t="shared" si="27"/>
        <v/>
      </c>
      <c r="Q20" s="14" t="str">
        <f t="shared" si="33"/>
        <v>VAR</v>
      </c>
      <c r="R20" s="14" t="str">
        <f t="shared" si="34"/>
        <v>P&amp;I</v>
      </c>
      <c r="S20" s="16" t="e">
        <f t="shared" si="28"/>
        <v>#VALUE!</v>
      </c>
      <c r="T20" s="9" t="e">
        <f t="shared" si="35"/>
        <v>#VALUE!</v>
      </c>
      <c r="U20" s="9" t="e">
        <f t="shared" si="29"/>
        <v>#VALUE!</v>
      </c>
      <c r="V20" s="9" t="e">
        <f t="shared" si="30"/>
        <v>#VALUE!</v>
      </c>
      <c r="W20" s="9" t="str">
        <f t="shared" si="16"/>
        <v/>
      </c>
      <c r="X20" s="10"/>
      <c r="Y20" s="9" t="e">
        <f t="shared" si="31"/>
        <v>#VALUE!</v>
      </c>
      <c r="Z20" s="313" t="e">
        <f t="shared" si="32"/>
        <v>#VALUE!</v>
      </c>
      <c r="AB20" s="14">
        <v>13</v>
      </c>
      <c r="AC20" s="15" t="str">
        <f t="shared" si="17"/>
        <v/>
      </c>
      <c r="AD20" s="14" t="str">
        <f t="shared" si="18"/>
        <v>VAR</v>
      </c>
      <c r="AE20" s="14" t="str">
        <f t="shared" si="19"/>
        <v>P&amp;I</v>
      </c>
      <c r="AF20" s="16" t="e">
        <f t="shared" si="20"/>
        <v>#VALUE!</v>
      </c>
      <c r="AG20" s="9" t="e">
        <f t="shared" si="21"/>
        <v>#VALUE!</v>
      </c>
      <c r="AH20" s="9" t="e">
        <f t="shared" si="22"/>
        <v>#VALUE!</v>
      </c>
      <c r="AI20" s="9" t="e">
        <f t="shared" si="23"/>
        <v>#VALUE!</v>
      </c>
      <c r="AJ20" s="9" t="str">
        <f t="shared" si="24"/>
        <v/>
      </c>
      <c r="AK20" s="10"/>
      <c r="AL20" s="9" t="e">
        <f t="shared" si="25"/>
        <v>#VALUE!</v>
      </c>
      <c r="AM20" s="313" t="e">
        <f t="shared" si="26"/>
        <v>#VALUE!</v>
      </c>
      <c r="AO20" s="9" t="e">
        <f t="shared" si="9"/>
        <v>#NUM!</v>
      </c>
      <c r="AP20" s="9" t="e">
        <f t="shared" si="10"/>
        <v>#VALUE!</v>
      </c>
    </row>
    <row r="21" spans="2:42" x14ac:dyDescent="0.2">
      <c r="B21" s="14">
        <v>14</v>
      </c>
      <c r="C21" s="15">
        <f t="shared" si="3"/>
        <v>0.04</v>
      </c>
      <c r="D21" s="14" t="str">
        <f t="shared" si="4"/>
        <v>VAR</v>
      </c>
      <c r="E21" s="14" t="str">
        <f t="shared" si="5"/>
        <v>P&amp;I</v>
      </c>
      <c r="F21" s="16" t="e">
        <f t="shared" si="6"/>
        <v>#NUM!</v>
      </c>
      <c r="G21" s="9" t="e">
        <f t="shared" si="7"/>
        <v>#NUM!</v>
      </c>
      <c r="H21" s="9" t="e">
        <f t="shared" si="11"/>
        <v>#NUM!</v>
      </c>
      <c r="I21" s="9" t="e">
        <f t="shared" si="12"/>
        <v>#NUM!</v>
      </c>
      <c r="J21" s="9" t="str">
        <f t="shared" si="13"/>
        <v/>
      </c>
      <c r="K21" s="10"/>
      <c r="L21" s="9" t="e">
        <f t="shared" si="14"/>
        <v>#NUM!</v>
      </c>
      <c r="M21" s="313" t="e">
        <f t="shared" si="15"/>
        <v>#NUM!</v>
      </c>
      <c r="O21" s="14">
        <v>14</v>
      </c>
      <c r="P21" s="15" t="str">
        <f t="shared" si="27"/>
        <v/>
      </c>
      <c r="Q21" s="14" t="str">
        <f t="shared" si="33"/>
        <v>VAR</v>
      </c>
      <c r="R21" s="14" t="str">
        <f t="shared" si="34"/>
        <v>P&amp;I</v>
      </c>
      <c r="S21" s="16" t="e">
        <f t="shared" si="28"/>
        <v>#VALUE!</v>
      </c>
      <c r="T21" s="9" t="e">
        <f t="shared" si="35"/>
        <v>#VALUE!</v>
      </c>
      <c r="U21" s="9" t="e">
        <f t="shared" si="29"/>
        <v>#VALUE!</v>
      </c>
      <c r="V21" s="9" t="e">
        <f t="shared" si="30"/>
        <v>#VALUE!</v>
      </c>
      <c r="W21" s="9" t="str">
        <f t="shared" si="16"/>
        <v/>
      </c>
      <c r="X21" s="10"/>
      <c r="Y21" s="9" t="e">
        <f t="shared" si="31"/>
        <v>#VALUE!</v>
      </c>
      <c r="Z21" s="313" t="e">
        <f t="shared" si="32"/>
        <v>#VALUE!</v>
      </c>
      <c r="AB21" s="14">
        <v>14</v>
      </c>
      <c r="AC21" s="15" t="str">
        <f t="shared" si="17"/>
        <v/>
      </c>
      <c r="AD21" s="14" t="str">
        <f t="shared" si="18"/>
        <v>VAR</v>
      </c>
      <c r="AE21" s="14" t="str">
        <f t="shared" si="19"/>
        <v>P&amp;I</v>
      </c>
      <c r="AF21" s="16" t="e">
        <f t="shared" si="20"/>
        <v>#VALUE!</v>
      </c>
      <c r="AG21" s="9" t="e">
        <f t="shared" si="21"/>
        <v>#VALUE!</v>
      </c>
      <c r="AH21" s="9" t="e">
        <f t="shared" si="22"/>
        <v>#VALUE!</v>
      </c>
      <c r="AI21" s="9" t="e">
        <f t="shared" si="23"/>
        <v>#VALUE!</v>
      </c>
      <c r="AJ21" s="9" t="str">
        <f t="shared" si="24"/>
        <v/>
      </c>
      <c r="AK21" s="10"/>
      <c r="AL21" s="9" t="e">
        <f t="shared" si="25"/>
        <v>#VALUE!</v>
      </c>
      <c r="AM21" s="313" t="e">
        <f t="shared" si="26"/>
        <v>#VALUE!</v>
      </c>
      <c r="AO21" s="9" t="e">
        <f t="shared" si="9"/>
        <v>#NUM!</v>
      </c>
      <c r="AP21" s="9" t="e">
        <f t="shared" si="10"/>
        <v>#VALUE!</v>
      </c>
    </row>
    <row r="22" spans="2:42" x14ac:dyDescent="0.2">
      <c r="B22" s="14">
        <v>15</v>
      </c>
      <c r="C22" s="15">
        <f t="shared" si="3"/>
        <v>0.04</v>
      </c>
      <c r="D22" s="14" t="str">
        <f t="shared" si="4"/>
        <v>VAR</v>
      </c>
      <c r="E22" s="14" t="str">
        <f t="shared" si="5"/>
        <v>P&amp;I</v>
      </c>
      <c r="F22" s="16" t="e">
        <f t="shared" si="6"/>
        <v>#NUM!</v>
      </c>
      <c r="G22" s="9" t="e">
        <f t="shared" si="7"/>
        <v>#NUM!</v>
      </c>
      <c r="H22" s="9" t="e">
        <f t="shared" si="11"/>
        <v>#NUM!</v>
      </c>
      <c r="I22" s="9" t="e">
        <f t="shared" si="12"/>
        <v>#NUM!</v>
      </c>
      <c r="J22" s="9" t="str">
        <f t="shared" si="13"/>
        <v/>
      </c>
      <c r="K22" s="10"/>
      <c r="L22" s="9" t="e">
        <f t="shared" si="14"/>
        <v>#NUM!</v>
      </c>
      <c r="M22" s="313" t="e">
        <f t="shared" si="15"/>
        <v>#NUM!</v>
      </c>
      <c r="O22" s="14">
        <v>15</v>
      </c>
      <c r="P22" s="15" t="str">
        <f t="shared" si="27"/>
        <v/>
      </c>
      <c r="Q22" s="14" t="str">
        <f t="shared" si="33"/>
        <v>VAR</v>
      </c>
      <c r="R22" s="14" t="str">
        <f t="shared" si="34"/>
        <v>P&amp;I</v>
      </c>
      <c r="S22" s="16" t="e">
        <f t="shared" si="28"/>
        <v>#VALUE!</v>
      </c>
      <c r="T22" s="9" t="e">
        <f t="shared" si="35"/>
        <v>#VALUE!</v>
      </c>
      <c r="U22" s="9" t="e">
        <f t="shared" si="29"/>
        <v>#VALUE!</v>
      </c>
      <c r="V22" s="9" t="e">
        <f t="shared" si="30"/>
        <v>#VALUE!</v>
      </c>
      <c r="W22" s="9" t="str">
        <f t="shared" si="16"/>
        <v/>
      </c>
      <c r="X22" s="10"/>
      <c r="Y22" s="9" t="e">
        <f t="shared" si="31"/>
        <v>#VALUE!</v>
      </c>
      <c r="Z22" s="313" t="e">
        <f t="shared" si="32"/>
        <v>#VALUE!</v>
      </c>
      <c r="AB22" s="14">
        <v>15</v>
      </c>
      <c r="AC22" s="15" t="str">
        <f t="shared" si="17"/>
        <v/>
      </c>
      <c r="AD22" s="14" t="str">
        <f t="shared" si="18"/>
        <v>VAR</v>
      </c>
      <c r="AE22" s="14" t="str">
        <f t="shared" si="19"/>
        <v>P&amp;I</v>
      </c>
      <c r="AF22" s="16" t="e">
        <f t="shared" si="20"/>
        <v>#VALUE!</v>
      </c>
      <c r="AG22" s="9" t="e">
        <f t="shared" si="21"/>
        <v>#VALUE!</v>
      </c>
      <c r="AH22" s="9" t="e">
        <f t="shared" si="22"/>
        <v>#VALUE!</v>
      </c>
      <c r="AI22" s="9" t="e">
        <f t="shared" si="23"/>
        <v>#VALUE!</v>
      </c>
      <c r="AJ22" s="9" t="str">
        <f t="shared" si="24"/>
        <v/>
      </c>
      <c r="AK22" s="10"/>
      <c r="AL22" s="9" t="e">
        <f t="shared" si="25"/>
        <v>#VALUE!</v>
      </c>
      <c r="AM22" s="313" t="e">
        <f t="shared" si="26"/>
        <v>#VALUE!</v>
      </c>
      <c r="AO22" s="9" t="e">
        <f t="shared" si="9"/>
        <v>#NUM!</v>
      </c>
      <c r="AP22" s="9" t="e">
        <f t="shared" si="10"/>
        <v>#VALUE!</v>
      </c>
    </row>
    <row r="23" spans="2:42" x14ac:dyDescent="0.2">
      <c r="B23" s="14">
        <v>16</v>
      </c>
      <c r="C23" s="15">
        <f t="shared" si="3"/>
        <v>0.04</v>
      </c>
      <c r="D23" s="14" t="str">
        <f t="shared" si="4"/>
        <v>VAR</v>
      </c>
      <c r="E23" s="14" t="str">
        <f t="shared" si="5"/>
        <v>P&amp;I</v>
      </c>
      <c r="F23" s="16" t="e">
        <f t="shared" si="6"/>
        <v>#NUM!</v>
      </c>
      <c r="G23" s="9" t="e">
        <f t="shared" si="7"/>
        <v>#NUM!</v>
      </c>
      <c r="H23" s="9" t="e">
        <f t="shared" si="11"/>
        <v>#NUM!</v>
      </c>
      <c r="I23" s="9" t="e">
        <f t="shared" si="12"/>
        <v>#NUM!</v>
      </c>
      <c r="J23" s="9" t="str">
        <f t="shared" si="13"/>
        <v/>
      </c>
      <c r="K23" s="10"/>
      <c r="L23" s="9" t="e">
        <f t="shared" si="14"/>
        <v>#NUM!</v>
      </c>
      <c r="M23" s="313" t="e">
        <f t="shared" si="15"/>
        <v>#NUM!</v>
      </c>
      <c r="O23" s="14">
        <v>16</v>
      </c>
      <c r="P23" s="15" t="str">
        <f t="shared" si="27"/>
        <v/>
      </c>
      <c r="Q23" s="14" t="str">
        <f t="shared" si="33"/>
        <v>VAR</v>
      </c>
      <c r="R23" s="14" t="str">
        <f t="shared" si="34"/>
        <v>P&amp;I</v>
      </c>
      <c r="S23" s="16" t="e">
        <f t="shared" si="28"/>
        <v>#VALUE!</v>
      </c>
      <c r="T23" s="9" t="e">
        <f t="shared" si="35"/>
        <v>#VALUE!</v>
      </c>
      <c r="U23" s="9" t="e">
        <f t="shared" si="29"/>
        <v>#VALUE!</v>
      </c>
      <c r="V23" s="9" t="e">
        <f t="shared" si="30"/>
        <v>#VALUE!</v>
      </c>
      <c r="W23" s="9" t="str">
        <f t="shared" si="16"/>
        <v/>
      </c>
      <c r="X23" s="10"/>
      <c r="Y23" s="9" t="e">
        <f t="shared" si="31"/>
        <v>#VALUE!</v>
      </c>
      <c r="Z23" s="313" t="e">
        <f t="shared" si="32"/>
        <v>#VALUE!</v>
      </c>
      <c r="AB23" s="14">
        <v>16</v>
      </c>
      <c r="AC23" s="15" t="str">
        <f t="shared" si="17"/>
        <v/>
      </c>
      <c r="AD23" s="14" t="str">
        <f t="shared" si="18"/>
        <v>VAR</v>
      </c>
      <c r="AE23" s="14" t="str">
        <f t="shared" si="19"/>
        <v>P&amp;I</v>
      </c>
      <c r="AF23" s="16" t="e">
        <f t="shared" si="20"/>
        <v>#VALUE!</v>
      </c>
      <c r="AG23" s="9" t="e">
        <f t="shared" si="21"/>
        <v>#VALUE!</v>
      </c>
      <c r="AH23" s="9" t="e">
        <f t="shared" si="22"/>
        <v>#VALUE!</v>
      </c>
      <c r="AI23" s="9" t="e">
        <f t="shared" si="23"/>
        <v>#VALUE!</v>
      </c>
      <c r="AJ23" s="9" t="str">
        <f t="shared" si="24"/>
        <v/>
      </c>
      <c r="AK23" s="10"/>
      <c r="AL23" s="9" t="e">
        <f t="shared" si="25"/>
        <v>#VALUE!</v>
      </c>
      <c r="AM23" s="313" t="e">
        <f t="shared" si="26"/>
        <v>#VALUE!</v>
      </c>
      <c r="AO23" s="9" t="e">
        <f t="shared" si="9"/>
        <v>#NUM!</v>
      </c>
      <c r="AP23" s="9" t="e">
        <f t="shared" si="10"/>
        <v>#VALUE!</v>
      </c>
    </row>
    <row r="24" spans="2:42" x14ac:dyDescent="0.2">
      <c r="B24" s="14">
        <v>17</v>
      </c>
      <c r="C24" s="15">
        <f t="shared" si="3"/>
        <v>0.04</v>
      </c>
      <c r="D24" s="14" t="str">
        <f t="shared" si="4"/>
        <v>VAR</v>
      </c>
      <c r="E24" s="14" t="str">
        <f t="shared" si="5"/>
        <v>P&amp;I</v>
      </c>
      <c r="F24" s="16" t="e">
        <f t="shared" si="6"/>
        <v>#NUM!</v>
      </c>
      <c r="G24" s="9" t="e">
        <f t="shared" si="7"/>
        <v>#NUM!</v>
      </c>
      <c r="H24" s="9" t="e">
        <f t="shared" si="11"/>
        <v>#NUM!</v>
      </c>
      <c r="I24" s="9" t="e">
        <f t="shared" si="12"/>
        <v>#NUM!</v>
      </c>
      <c r="J24" s="9" t="str">
        <f t="shared" si="13"/>
        <v/>
      </c>
      <c r="K24" s="10"/>
      <c r="L24" s="9" t="e">
        <f t="shared" si="14"/>
        <v>#NUM!</v>
      </c>
      <c r="M24" s="313" t="e">
        <f t="shared" si="15"/>
        <v>#NUM!</v>
      </c>
      <c r="O24" s="14">
        <v>17</v>
      </c>
      <c r="P24" s="15" t="str">
        <f t="shared" si="27"/>
        <v/>
      </c>
      <c r="Q24" s="14" t="str">
        <f t="shared" si="33"/>
        <v>VAR</v>
      </c>
      <c r="R24" s="14" t="str">
        <f t="shared" si="34"/>
        <v>P&amp;I</v>
      </c>
      <c r="S24" s="16" t="e">
        <f t="shared" si="28"/>
        <v>#VALUE!</v>
      </c>
      <c r="T24" s="9" t="e">
        <f t="shared" si="35"/>
        <v>#VALUE!</v>
      </c>
      <c r="U24" s="9" t="e">
        <f t="shared" si="29"/>
        <v>#VALUE!</v>
      </c>
      <c r="V24" s="9" t="e">
        <f t="shared" si="30"/>
        <v>#VALUE!</v>
      </c>
      <c r="W24" s="9" t="str">
        <f t="shared" si="16"/>
        <v/>
      </c>
      <c r="X24" s="10"/>
      <c r="Y24" s="9" t="e">
        <f t="shared" si="31"/>
        <v>#VALUE!</v>
      </c>
      <c r="Z24" s="313" t="e">
        <f t="shared" si="32"/>
        <v>#VALUE!</v>
      </c>
      <c r="AB24" s="14">
        <v>17</v>
      </c>
      <c r="AC24" s="15" t="str">
        <f t="shared" si="17"/>
        <v/>
      </c>
      <c r="AD24" s="14" t="str">
        <f t="shared" si="18"/>
        <v>VAR</v>
      </c>
      <c r="AE24" s="14" t="str">
        <f t="shared" si="19"/>
        <v>P&amp;I</v>
      </c>
      <c r="AF24" s="16" t="e">
        <f t="shared" si="20"/>
        <v>#VALUE!</v>
      </c>
      <c r="AG24" s="9" t="e">
        <f t="shared" si="21"/>
        <v>#VALUE!</v>
      </c>
      <c r="AH24" s="9" t="e">
        <f t="shared" si="22"/>
        <v>#VALUE!</v>
      </c>
      <c r="AI24" s="9" t="e">
        <f t="shared" si="23"/>
        <v>#VALUE!</v>
      </c>
      <c r="AJ24" s="9" t="str">
        <f t="shared" si="24"/>
        <v/>
      </c>
      <c r="AK24" s="10"/>
      <c r="AL24" s="9" t="e">
        <f t="shared" si="25"/>
        <v>#VALUE!</v>
      </c>
      <c r="AM24" s="313" t="e">
        <f t="shared" si="26"/>
        <v>#VALUE!</v>
      </c>
      <c r="AO24" s="9" t="e">
        <f t="shared" si="9"/>
        <v>#NUM!</v>
      </c>
      <c r="AP24" s="9" t="e">
        <f t="shared" si="10"/>
        <v>#VALUE!</v>
      </c>
    </row>
    <row r="25" spans="2:42" x14ac:dyDescent="0.2">
      <c r="B25" s="14">
        <v>18</v>
      </c>
      <c r="C25" s="15">
        <f t="shared" si="3"/>
        <v>0.04</v>
      </c>
      <c r="D25" s="14" t="str">
        <f t="shared" si="4"/>
        <v>VAR</v>
      </c>
      <c r="E25" s="14" t="str">
        <f t="shared" si="5"/>
        <v>P&amp;I</v>
      </c>
      <c r="F25" s="16" t="e">
        <f t="shared" si="6"/>
        <v>#NUM!</v>
      </c>
      <c r="G25" s="9" t="e">
        <f t="shared" si="7"/>
        <v>#NUM!</v>
      </c>
      <c r="H25" s="9" t="e">
        <f t="shared" si="11"/>
        <v>#NUM!</v>
      </c>
      <c r="I25" s="9" t="e">
        <f t="shared" si="12"/>
        <v>#NUM!</v>
      </c>
      <c r="J25" s="9" t="str">
        <f t="shared" si="13"/>
        <v/>
      </c>
      <c r="K25" s="10"/>
      <c r="L25" s="9" t="e">
        <f t="shared" si="14"/>
        <v>#NUM!</v>
      </c>
      <c r="M25" s="313" t="e">
        <f t="shared" si="15"/>
        <v>#NUM!</v>
      </c>
      <c r="O25" s="14">
        <v>18</v>
      </c>
      <c r="P25" s="15" t="str">
        <f t="shared" si="27"/>
        <v/>
      </c>
      <c r="Q25" s="14" t="str">
        <f t="shared" si="33"/>
        <v>VAR</v>
      </c>
      <c r="R25" s="14" t="str">
        <f t="shared" si="34"/>
        <v>P&amp;I</v>
      </c>
      <c r="S25" s="16" t="e">
        <f t="shared" si="28"/>
        <v>#VALUE!</v>
      </c>
      <c r="T25" s="9" t="e">
        <f t="shared" si="35"/>
        <v>#VALUE!</v>
      </c>
      <c r="U25" s="9" t="e">
        <f t="shared" si="29"/>
        <v>#VALUE!</v>
      </c>
      <c r="V25" s="9" t="e">
        <f t="shared" si="30"/>
        <v>#VALUE!</v>
      </c>
      <c r="W25" s="9" t="str">
        <f t="shared" si="16"/>
        <v/>
      </c>
      <c r="X25" s="10"/>
      <c r="Y25" s="9" t="e">
        <f t="shared" si="31"/>
        <v>#VALUE!</v>
      </c>
      <c r="Z25" s="313" t="e">
        <f t="shared" si="32"/>
        <v>#VALUE!</v>
      </c>
      <c r="AB25" s="14">
        <v>18</v>
      </c>
      <c r="AC25" s="15" t="str">
        <f t="shared" si="17"/>
        <v/>
      </c>
      <c r="AD25" s="14" t="str">
        <f t="shared" si="18"/>
        <v>VAR</v>
      </c>
      <c r="AE25" s="14" t="str">
        <f t="shared" si="19"/>
        <v>P&amp;I</v>
      </c>
      <c r="AF25" s="16" t="e">
        <f t="shared" si="20"/>
        <v>#VALUE!</v>
      </c>
      <c r="AG25" s="9" t="e">
        <f t="shared" si="21"/>
        <v>#VALUE!</v>
      </c>
      <c r="AH25" s="9" t="e">
        <f t="shared" si="22"/>
        <v>#VALUE!</v>
      </c>
      <c r="AI25" s="9" t="e">
        <f t="shared" si="23"/>
        <v>#VALUE!</v>
      </c>
      <c r="AJ25" s="9" t="str">
        <f t="shared" si="24"/>
        <v/>
      </c>
      <c r="AK25" s="10"/>
      <c r="AL25" s="9" t="e">
        <f t="shared" si="25"/>
        <v>#VALUE!</v>
      </c>
      <c r="AM25" s="313" t="e">
        <f t="shared" si="26"/>
        <v>#VALUE!</v>
      </c>
      <c r="AO25" s="9" t="e">
        <f t="shared" si="9"/>
        <v>#NUM!</v>
      </c>
      <c r="AP25" s="9" t="e">
        <f t="shared" si="10"/>
        <v>#VALUE!</v>
      </c>
    </row>
    <row r="26" spans="2:42" x14ac:dyDescent="0.2">
      <c r="B26" s="14">
        <v>19</v>
      </c>
      <c r="C26" s="15">
        <f t="shared" si="3"/>
        <v>0.04</v>
      </c>
      <c r="D26" s="14" t="str">
        <f t="shared" si="4"/>
        <v>VAR</v>
      </c>
      <c r="E26" s="14" t="str">
        <f t="shared" si="5"/>
        <v>P&amp;I</v>
      </c>
      <c r="F26" s="16" t="e">
        <f t="shared" si="6"/>
        <v>#NUM!</v>
      </c>
      <c r="G26" s="9" t="e">
        <f t="shared" si="7"/>
        <v>#NUM!</v>
      </c>
      <c r="H26" s="9" t="e">
        <f t="shared" si="11"/>
        <v>#NUM!</v>
      </c>
      <c r="I26" s="9" t="e">
        <f t="shared" si="12"/>
        <v>#NUM!</v>
      </c>
      <c r="J26" s="9" t="str">
        <f t="shared" si="13"/>
        <v/>
      </c>
      <c r="K26" s="10"/>
      <c r="L26" s="9" t="e">
        <f t="shared" si="14"/>
        <v>#NUM!</v>
      </c>
      <c r="M26" s="313" t="e">
        <f t="shared" si="15"/>
        <v>#NUM!</v>
      </c>
      <c r="O26" s="14">
        <v>19</v>
      </c>
      <c r="P26" s="15" t="str">
        <f t="shared" si="27"/>
        <v/>
      </c>
      <c r="Q26" s="14" t="str">
        <f t="shared" si="33"/>
        <v>VAR</v>
      </c>
      <c r="R26" s="14" t="str">
        <f t="shared" si="34"/>
        <v>P&amp;I</v>
      </c>
      <c r="S26" s="16" t="e">
        <f t="shared" si="28"/>
        <v>#VALUE!</v>
      </c>
      <c r="T26" s="9" t="e">
        <f t="shared" si="35"/>
        <v>#VALUE!</v>
      </c>
      <c r="U26" s="9" t="e">
        <f t="shared" si="29"/>
        <v>#VALUE!</v>
      </c>
      <c r="V26" s="9" t="e">
        <f t="shared" si="30"/>
        <v>#VALUE!</v>
      </c>
      <c r="W26" s="9" t="str">
        <f t="shared" si="16"/>
        <v/>
      </c>
      <c r="X26" s="10"/>
      <c r="Y26" s="9" t="e">
        <f t="shared" si="31"/>
        <v>#VALUE!</v>
      </c>
      <c r="Z26" s="313" t="e">
        <f t="shared" si="32"/>
        <v>#VALUE!</v>
      </c>
      <c r="AB26" s="14">
        <v>19</v>
      </c>
      <c r="AC26" s="15" t="str">
        <f t="shared" si="17"/>
        <v/>
      </c>
      <c r="AD26" s="14" t="str">
        <f t="shared" si="18"/>
        <v>VAR</v>
      </c>
      <c r="AE26" s="14" t="str">
        <f t="shared" si="19"/>
        <v>P&amp;I</v>
      </c>
      <c r="AF26" s="16" t="e">
        <f t="shared" si="20"/>
        <v>#VALUE!</v>
      </c>
      <c r="AG26" s="9" t="e">
        <f t="shared" si="21"/>
        <v>#VALUE!</v>
      </c>
      <c r="AH26" s="9" t="e">
        <f t="shared" si="22"/>
        <v>#VALUE!</v>
      </c>
      <c r="AI26" s="9" t="e">
        <f t="shared" si="23"/>
        <v>#VALUE!</v>
      </c>
      <c r="AJ26" s="9" t="str">
        <f t="shared" si="24"/>
        <v/>
      </c>
      <c r="AK26" s="10"/>
      <c r="AL26" s="9" t="e">
        <f t="shared" si="25"/>
        <v>#VALUE!</v>
      </c>
      <c r="AM26" s="313" t="e">
        <f t="shared" si="26"/>
        <v>#VALUE!</v>
      </c>
      <c r="AO26" s="9" t="e">
        <f t="shared" si="9"/>
        <v>#NUM!</v>
      </c>
      <c r="AP26" s="9" t="e">
        <f t="shared" si="10"/>
        <v>#VALUE!</v>
      </c>
    </row>
    <row r="27" spans="2:42" x14ac:dyDescent="0.2">
      <c r="B27" s="14">
        <v>20</v>
      </c>
      <c r="C27" s="15">
        <f t="shared" si="3"/>
        <v>0.04</v>
      </c>
      <c r="D27" s="14" t="str">
        <f t="shared" si="4"/>
        <v>VAR</v>
      </c>
      <c r="E27" s="14" t="str">
        <f t="shared" si="5"/>
        <v>P&amp;I</v>
      </c>
      <c r="F27" s="16" t="e">
        <f t="shared" si="6"/>
        <v>#NUM!</v>
      </c>
      <c r="G27" s="9" t="e">
        <f t="shared" si="7"/>
        <v>#NUM!</v>
      </c>
      <c r="H27" s="9" t="e">
        <f t="shared" si="11"/>
        <v>#NUM!</v>
      </c>
      <c r="I27" s="9" t="e">
        <f t="shared" si="12"/>
        <v>#NUM!</v>
      </c>
      <c r="J27" s="9" t="str">
        <f t="shared" si="13"/>
        <v/>
      </c>
      <c r="K27" s="10"/>
      <c r="L27" s="9" t="e">
        <f t="shared" si="14"/>
        <v>#NUM!</v>
      </c>
      <c r="M27" s="313" t="e">
        <f t="shared" si="15"/>
        <v>#NUM!</v>
      </c>
      <c r="O27" s="14">
        <v>20</v>
      </c>
      <c r="P27" s="15" t="str">
        <f t="shared" si="27"/>
        <v/>
      </c>
      <c r="Q27" s="14" t="str">
        <f t="shared" si="33"/>
        <v>VAR</v>
      </c>
      <c r="R27" s="14" t="str">
        <f t="shared" si="34"/>
        <v>P&amp;I</v>
      </c>
      <c r="S27" s="16" t="e">
        <f t="shared" si="28"/>
        <v>#VALUE!</v>
      </c>
      <c r="T27" s="9" t="e">
        <f t="shared" si="35"/>
        <v>#VALUE!</v>
      </c>
      <c r="U27" s="9" t="e">
        <f t="shared" si="29"/>
        <v>#VALUE!</v>
      </c>
      <c r="V27" s="9" t="e">
        <f t="shared" si="30"/>
        <v>#VALUE!</v>
      </c>
      <c r="W27" s="9" t="str">
        <f t="shared" si="16"/>
        <v/>
      </c>
      <c r="X27" s="10"/>
      <c r="Y27" s="9" t="e">
        <f t="shared" si="31"/>
        <v>#VALUE!</v>
      </c>
      <c r="Z27" s="313" t="e">
        <f t="shared" si="32"/>
        <v>#VALUE!</v>
      </c>
      <c r="AB27" s="14">
        <v>20</v>
      </c>
      <c r="AC27" s="15" t="str">
        <f t="shared" si="17"/>
        <v/>
      </c>
      <c r="AD27" s="14" t="str">
        <f t="shared" si="18"/>
        <v>VAR</v>
      </c>
      <c r="AE27" s="14" t="str">
        <f t="shared" si="19"/>
        <v>P&amp;I</v>
      </c>
      <c r="AF27" s="16" t="e">
        <f t="shared" si="20"/>
        <v>#VALUE!</v>
      </c>
      <c r="AG27" s="9" t="e">
        <f t="shared" si="21"/>
        <v>#VALUE!</v>
      </c>
      <c r="AH27" s="9" t="e">
        <f t="shared" si="22"/>
        <v>#VALUE!</v>
      </c>
      <c r="AI27" s="9" t="e">
        <f t="shared" si="23"/>
        <v>#VALUE!</v>
      </c>
      <c r="AJ27" s="9" t="str">
        <f t="shared" si="24"/>
        <v/>
      </c>
      <c r="AK27" s="10"/>
      <c r="AL27" s="9" t="e">
        <f t="shared" si="25"/>
        <v>#VALUE!</v>
      </c>
      <c r="AM27" s="313" t="e">
        <f t="shared" si="26"/>
        <v>#VALUE!</v>
      </c>
      <c r="AO27" s="9" t="e">
        <f t="shared" si="9"/>
        <v>#NUM!</v>
      </c>
      <c r="AP27" s="9" t="e">
        <f t="shared" si="10"/>
        <v>#VALUE!</v>
      </c>
    </row>
    <row r="28" spans="2:42" x14ac:dyDescent="0.2">
      <c r="B28" s="14">
        <v>21</v>
      </c>
      <c r="C28" s="15">
        <f t="shared" si="3"/>
        <v>0.04</v>
      </c>
      <c r="D28" s="14" t="str">
        <f t="shared" si="4"/>
        <v>VAR</v>
      </c>
      <c r="E28" s="14" t="str">
        <f t="shared" si="5"/>
        <v>P&amp;I</v>
      </c>
      <c r="F28" s="16" t="e">
        <f t="shared" si="6"/>
        <v>#NUM!</v>
      </c>
      <c r="G28" s="9" t="e">
        <f t="shared" si="7"/>
        <v>#NUM!</v>
      </c>
      <c r="H28" s="9" t="e">
        <f t="shared" si="11"/>
        <v>#NUM!</v>
      </c>
      <c r="I28" s="9" t="e">
        <f t="shared" si="12"/>
        <v>#NUM!</v>
      </c>
      <c r="J28" s="9" t="str">
        <f t="shared" si="13"/>
        <v/>
      </c>
      <c r="K28" s="10"/>
      <c r="L28" s="9" t="e">
        <f t="shared" si="14"/>
        <v>#NUM!</v>
      </c>
      <c r="M28" s="313" t="e">
        <f t="shared" si="15"/>
        <v>#NUM!</v>
      </c>
      <c r="O28" s="14">
        <v>21</v>
      </c>
      <c r="P28" s="15" t="str">
        <f t="shared" si="27"/>
        <v/>
      </c>
      <c r="Q28" s="14" t="str">
        <f t="shared" si="33"/>
        <v>VAR</v>
      </c>
      <c r="R28" s="14" t="str">
        <f t="shared" si="34"/>
        <v>P&amp;I</v>
      </c>
      <c r="S28" s="16" t="e">
        <f t="shared" si="28"/>
        <v>#VALUE!</v>
      </c>
      <c r="T28" s="9" t="e">
        <f t="shared" si="35"/>
        <v>#VALUE!</v>
      </c>
      <c r="U28" s="9" t="e">
        <f t="shared" si="29"/>
        <v>#VALUE!</v>
      </c>
      <c r="V28" s="9" t="e">
        <f t="shared" si="30"/>
        <v>#VALUE!</v>
      </c>
      <c r="W28" s="9" t="str">
        <f t="shared" si="16"/>
        <v/>
      </c>
      <c r="X28" s="10"/>
      <c r="Y28" s="9" t="e">
        <f t="shared" si="31"/>
        <v>#VALUE!</v>
      </c>
      <c r="Z28" s="313" t="e">
        <f t="shared" si="32"/>
        <v>#VALUE!</v>
      </c>
      <c r="AB28" s="14">
        <v>21</v>
      </c>
      <c r="AC28" s="15" t="str">
        <f t="shared" si="17"/>
        <v/>
      </c>
      <c r="AD28" s="14" t="str">
        <f t="shared" si="18"/>
        <v>VAR</v>
      </c>
      <c r="AE28" s="14" t="str">
        <f t="shared" si="19"/>
        <v>P&amp;I</v>
      </c>
      <c r="AF28" s="16" t="e">
        <f t="shared" si="20"/>
        <v>#VALUE!</v>
      </c>
      <c r="AG28" s="9" t="e">
        <f t="shared" si="21"/>
        <v>#VALUE!</v>
      </c>
      <c r="AH28" s="9" t="e">
        <f t="shared" si="22"/>
        <v>#VALUE!</v>
      </c>
      <c r="AI28" s="9" t="e">
        <f t="shared" si="23"/>
        <v>#VALUE!</v>
      </c>
      <c r="AJ28" s="9" t="str">
        <f t="shared" si="24"/>
        <v/>
      </c>
      <c r="AK28" s="10"/>
      <c r="AL28" s="9" t="e">
        <f t="shared" si="25"/>
        <v>#VALUE!</v>
      </c>
      <c r="AM28" s="313" t="e">
        <f t="shared" si="26"/>
        <v>#VALUE!</v>
      </c>
      <c r="AO28" s="9" t="e">
        <f t="shared" si="9"/>
        <v>#NUM!</v>
      </c>
      <c r="AP28" s="9" t="e">
        <f t="shared" si="10"/>
        <v>#VALUE!</v>
      </c>
    </row>
    <row r="29" spans="2:42" x14ac:dyDescent="0.2">
      <c r="B29" s="14">
        <v>22</v>
      </c>
      <c r="C29" s="15">
        <f t="shared" si="3"/>
        <v>0.04</v>
      </c>
      <c r="D29" s="14" t="str">
        <f t="shared" si="4"/>
        <v>VAR</v>
      </c>
      <c r="E29" s="14" t="str">
        <f t="shared" si="5"/>
        <v>P&amp;I</v>
      </c>
      <c r="F29" s="16" t="e">
        <f t="shared" si="6"/>
        <v>#NUM!</v>
      </c>
      <c r="G29" s="9" t="e">
        <f t="shared" si="7"/>
        <v>#NUM!</v>
      </c>
      <c r="H29" s="9" t="e">
        <f t="shared" si="11"/>
        <v>#NUM!</v>
      </c>
      <c r="I29" s="9" t="e">
        <f t="shared" si="12"/>
        <v>#NUM!</v>
      </c>
      <c r="J29" s="9" t="str">
        <f t="shared" si="13"/>
        <v/>
      </c>
      <c r="K29" s="10"/>
      <c r="L29" s="9" t="e">
        <f t="shared" si="14"/>
        <v>#NUM!</v>
      </c>
      <c r="M29" s="313" t="e">
        <f t="shared" si="15"/>
        <v>#NUM!</v>
      </c>
      <c r="O29" s="14">
        <v>22</v>
      </c>
      <c r="P29" s="15" t="str">
        <f t="shared" si="27"/>
        <v/>
      </c>
      <c r="Q29" s="14" t="str">
        <f t="shared" si="33"/>
        <v>VAR</v>
      </c>
      <c r="R29" s="14" t="str">
        <f t="shared" si="34"/>
        <v>P&amp;I</v>
      </c>
      <c r="S29" s="16" t="e">
        <f t="shared" si="28"/>
        <v>#VALUE!</v>
      </c>
      <c r="T29" s="9" t="e">
        <f t="shared" si="35"/>
        <v>#VALUE!</v>
      </c>
      <c r="U29" s="9" t="e">
        <f t="shared" si="29"/>
        <v>#VALUE!</v>
      </c>
      <c r="V29" s="9" t="e">
        <f t="shared" si="30"/>
        <v>#VALUE!</v>
      </c>
      <c r="W29" s="9" t="str">
        <f t="shared" si="16"/>
        <v/>
      </c>
      <c r="X29" s="10"/>
      <c r="Y29" s="9" t="e">
        <f t="shared" si="31"/>
        <v>#VALUE!</v>
      </c>
      <c r="Z29" s="313" t="e">
        <f t="shared" si="32"/>
        <v>#VALUE!</v>
      </c>
      <c r="AB29" s="14">
        <v>22</v>
      </c>
      <c r="AC29" s="15" t="str">
        <f t="shared" si="17"/>
        <v/>
      </c>
      <c r="AD29" s="14" t="str">
        <f t="shared" si="18"/>
        <v>VAR</v>
      </c>
      <c r="AE29" s="14" t="str">
        <f t="shared" si="19"/>
        <v>P&amp;I</v>
      </c>
      <c r="AF29" s="16" t="e">
        <f t="shared" si="20"/>
        <v>#VALUE!</v>
      </c>
      <c r="AG29" s="9" t="e">
        <f t="shared" si="21"/>
        <v>#VALUE!</v>
      </c>
      <c r="AH29" s="9" t="e">
        <f t="shared" si="22"/>
        <v>#VALUE!</v>
      </c>
      <c r="AI29" s="9" t="e">
        <f t="shared" si="23"/>
        <v>#VALUE!</v>
      </c>
      <c r="AJ29" s="9" t="str">
        <f t="shared" si="24"/>
        <v/>
      </c>
      <c r="AK29" s="10"/>
      <c r="AL29" s="9" t="e">
        <f t="shared" si="25"/>
        <v>#VALUE!</v>
      </c>
      <c r="AM29" s="313" t="e">
        <f t="shared" si="26"/>
        <v>#VALUE!</v>
      </c>
      <c r="AO29" s="9" t="e">
        <f t="shared" si="9"/>
        <v>#NUM!</v>
      </c>
      <c r="AP29" s="9" t="e">
        <f t="shared" si="10"/>
        <v>#VALUE!</v>
      </c>
    </row>
    <row r="30" spans="2:42" x14ac:dyDescent="0.2">
      <c r="B30" s="14">
        <v>23</v>
      </c>
      <c r="C30" s="15">
        <f t="shared" si="3"/>
        <v>0.04</v>
      </c>
      <c r="D30" s="14" t="str">
        <f t="shared" si="4"/>
        <v>VAR</v>
      </c>
      <c r="E30" s="14" t="str">
        <f t="shared" si="5"/>
        <v>P&amp;I</v>
      </c>
      <c r="F30" s="16" t="e">
        <f t="shared" si="6"/>
        <v>#NUM!</v>
      </c>
      <c r="G30" s="9" t="e">
        <f t="shared" si="7"/>
        <v>#NUM!</v>
      </c>
      <c r="H30" s="9" t="e">
        <f t="shared" si="11"/>
        <v>#NUM!</v>
      </c>
      <c r="I30" s="9" t="e">
        <f t="shared" si="12"/>
        <v>#NUM!</v>
      </c>
      <c r="J30" s="9" t="str">
        <f t="shared" si="13"/>
        <v/>
      </c>
      <c r="K30" s="10"/>
      <c r="L30" s="9" t="e">
        <f t="shared" si="14"/>
        <v>#NUM!</v>
      </c>
      <c r="M30" s="313" t="e">
        <f t="shared" si="15"/>
        <v>#NUM!</v>
      </c>
      <c r="O30" s="14">
        <v>23</v>
      </c>
      <c r="P30" s="15" t="str">
        <f t="shared" si="27"/>
        <v/>
      </c>
      <c r="Q30" s="14" t="str">
        <f t="shared" si="33"/>
        <v>VAR</v>
      </c>
      <c r="R30" s="14" t="str">
        <f t="shared" si="34"/>
        <v>P&amp;I</v>
      </c>
      <c r="S30" s="16" t="e">
        <f t="shared" si="28"/>
        <v>#VALUE!</v>
      </c>
      <c r="T30" s="9" t="e">
        <f t="shared" si="35"/>
        <v>#VALUE!</v>
      </c>
      <c r="U30" s="9" t="e">
        <f t="shared" si="29"/>
        <v>#VALUE!</v>
      </c>
      <c r="V30" s="9" t="e">
        <f t="shared" si="30"/>
        <v>#VALUE!</v>
      </c>
      <c r="W30" s="9" t="str">
        <f t="shared" si="16"/>
        <v/>
      </c>
      <c r="X30" s="10"/>
      <c r="Y30" s="9" t="e">
        <f t="shared" si="31"/>
        <v>#VALUE!</v>
      </c>
      <c r="Z30" s="313" t="e">
        <f t="shared" si="32"/>
        <v>#VALUE!</v>
      </c>
      <c r="AB30" s="14">
        <v>23</v>
      </c>
      <c r="AC30" s="15" t="str">
        <f t="shared" si="17"/>
        <v/>
      </c>
      <c r="AD30" s="14" t="str">
        <f t="shared" si="18"/>
        <v>VAR</v>
      </c>
      <c r="AE30" s="14" t="str">
        <f t="shared" si="19"/>
        <v>P&amp;I</v>
      </c>
      <c r="AF30" s="16" t="e">
        <f t="shared" si="20"/>
        <v>#VALUE!</v>
      </c>
      <c r="AG30" s="9" t="e">
        <f t="shared" si="21"/>
        <v>#VALUE!</v>
      </c>
      <c r="AH30" s="9" t="e">
        <f t="shared" si="22"/>
        <v>#VALUE!</v>
      </c>
      <c r="AI30" s="9" t="e">
        <f t="shared" si="23"/>
        <v>#VALUE!</v>
      </c>
      <c r="AJ30" s="9" t="str">
        <f t="shared" si="24"/>
        <v/>
      </c>
      <c r="AK30" s="10"/>
      <c r="AL30" s="9" t="e">
        <f t="shared" si="25"/>
        <v>#VALUE!</v>
      </c>
      <c r="AM30" s="313" t="e">
        <f t="shared" si="26"/>
        <v>#VALUE!</v>
      </c>
      <c r="AO30" s="9" t="e">
        <f t="shared" si="9"/>
        <v>#NUM!</v>
      </c>
      <c r="AP30" s="9" t="e">
        <f t="shared" si="10"/>
        <v>#VALUE!</v>
      </c>
    </row>
    <row r="31" spans="2:42" x14ac:dyDescent="0.2">
      <c r="B31" s="14">
        <v>24</v>
      </c>
      <c r="C31" s="15">
        <f t="shared" si="3"/>
        <v>0.04</v>
      </c>
      <c r="D31" s="14" t="str">
        <f t="shared" si="4"/>
        <v>VAR</v>
      </c>
      <c r="E31" s="14" t="str">
        <f t="shared" si="5"/>
        <v>P&amp;I</v>
      </c>
      <c r="F31" s="16" t="e">
        <f t="shared" si="6"/>
        <v>#NUM!</v>
      </c>
      <c r="G31" s="9" t="e">
        <f t="shared" si="7"/>
        <v>#NUM!</v>
      </c>
      <c r="H31" s="9" t="e">
        <f t="shared" si="11"/>
        <v>#NUM!</v>
      </c>
      <c r="I31" s="9" t="e">
        <f t="shared" si="12"/>
        <v>#NUM!</v>
      </c>
      <c r="J31" s="9" t="str">
        <f t="shared" si="13"/>
        <v/>
      </c>
      <c r="K31" s="10"/>
      <c r="L31" s="9" t="e">
        <f t="shared" si="14"/>
        <v>#NUM!</v>
      </c>
      <c r="M31" s="313" t="e">
        <f t="shared" si="15"/>
        <v>#NUM!</v>
      </c>
      <c r="O31" s="14">
        <v>24</v>
      </c>
      <c r="P31" s="15" t="str">
        <f t="shared" si="27"/>
        <v/>
      </c>
      <c r="Q31" s="14" t="str">
        <f t="shared" si="33"/>
        <v>VAR</v>
      </c>
      <c r="R31" s="14" t="str">
        <f t="shared" si="34"/>
        <v>P&amp;I</v>
      </c>
      <c r="S31" s="16" t="e">
        <f t="shared" si="28"/>
        <v>#VALUE!</v>
      </c>
      <c r="T31" s="9" t="e">
        <f t="shared" si="35"/>
        <v>#VALUE!</v>
      </c>
      <c r="U31" s="9" t="e">
        <f t="shared" si="29"/>
        <v>#VALUE!</v>
      </c>
      <c r="V31" s="9" t="e">
        <f t="shared" si="30"/>
        <v>#VALUE!</v>
      </c>
      <c r="W31" s="9" t="str">
        <f t="shared" si="16"/>
        <v/>
      </c>
      <c r="X31" s="10"/>
      <c r="Y31" s="9" t="e">
        <f t="shared" si="31"/>
        <v>#VALUE!</v>
      </c>
      <c r="Z31" s="313" t="e">
        <f t="shared" si="32"/>
        <v>#VALUE!</v>
      </c>
      <c r="AB31" s="14">
        <v>24</v>
      </c>
      <c r="AC31" s="15" t="str">
        <f t="shared" si="17"/>
        <v/>
      </c>
      <c r="AD31" s="14" t="str">
        <f t="shared" si="18"/>
        <v>VAR</v>
      </c>
      <c r="AE31" s="14" t="str">
        <f t="shared" si="19"/>
        <v>P&amp;I</v>
      </c>
      <c r="AF31" s="16" t="e">
        <f t="shared" si="20"/>
        <v>#VALUE!</v>
      </c>
      <c r="AG31" s="9" t="e">
        <f t="shared" si="21"/>
        <v>#VALUE!</v>
      </c>
      <c r="AH31" s="9" t="e">
        <f t="shared" si="22"/>
        <v>#VALUE!</v>
      </c>
      <c r="AI31" s="9" t="e">
        <f t="shared" si="23"/>
        <v>#VALUE!</v>
      </c>
      <c r="AJ31" s="9" t="str">
        <f t="shared" si="24"/>
        <v/>
      </c>
      <c r="AK31" s="10"/>
      <c r="AL31" s="9" t="e">
        <f t="shared" si="25"/>
        <v>#VALUE!</v>
      </c>
      <c r="AM31" s="313" t="e">
        <f t="shared" si="26"/>
        <v>#VALUE!</v>
      </c>
      <c r="AO31" s="9" t="e">
        <f t="shared" si="9"/>
        <v>#NUM!</v>
      </c>
      <c r="AP31" s="9" t="e">
        <f t="shared" si="10"/>
        <v>#VALUE!</v>
      </c>
    </row>
    <row r="32" spans="2:42" x14ac:dyDescent="0.2">
      <c r="B32" s="14">
        <v>25</v>
      </c>
      <c r="C32" s="15">
        <f t="shared" si="3"/>
        <v>0.04</v>
      </c>
      <c r="D32" s="14" t="str">
        <f t="shared" si="4"/>
        <v>VAR</v>
      </c>
      <c r="E32" s="14" t="str">
        <f t="shared" si="5"/>
        <v>P&amp;I</v>
      </c>
      <c r="F32" s="16" t="e">
        <f t="shared" si="6"/>
        <v>#NUM!</v>
      </c>
      <c r="G32" s="9" t="e">
        <f t="shared" si="7"/>
        <v>#NUM!</v>
      </c>
      <c r="H32" s="9" t="e">
        <f t="shared" si="11"/>
        <v>#NUM!</v>
      </c>
      <c r="I32" s="9" t="e">
        <f t="shared" si="12"/>
        <v>#NUM!</v>
      </c>
      <c r="J32" s="9" t="str">
        <f t="shared" si="13"/>
        <v/>
      </c>
      <c r="K32" s="10"/>
      <c r="L32" s="9" t="e">
        <f t="shared" si="14"/>
        <v>#NUM!</v>
      </c>
      <c r="M32" s="313" t="e">
        <f t="shared" si="15"/>
        <v>#NUM!</v>
      </c>
      <c r="O32" s="14">
        <v>25</v>
      </c>
      <c r="P32" s="15" t="str">
        <f t="shared" si="27"/>
        <v/>
      </c>
      <c r="Q32" s="14" t="str">
        <f t="shared" si="33"/>
        <v>VAR</v>
      </c>
      <c r="R32" s="14" t="str">
        <f t="shared" si="34"/>
        <v>P&amp;I</v>
      </c>
      <c r="S32" s="16" t="e">
        <f t="shared" si="28"/>
        <v>#VALUE!</v>
      </c>
      <c r="T32" s="9" t="e">
        <f t="shared" si="35"/>
        <v>#VALUE!</v>
      </c>
      <c r="U32" s="9" t="e">
        <f t="shared" si="29"/>
        <v>#VALUE!</v>
      </c>
      <c r="V32" s="9" t="e">
        <f t="shared" si="30"/>
        <v>#VALUE!</v>
      </c>
      <c r="W32" s="9" t="str">
        <f t="shared" si="16"/>
        <v/>
      </c>
      <c r="X32" s="10"/>
      <c r="Y32" s="9" t="e">
        <f t="shared" si="31"/>
        <v>#VALUE!</v>
      </c>
      <c r="Z32" s="313" t="e">
        <f t="shared" si="32"/>
        <v>#VALUE!</v>
      </c>
      <c r="AB32" s="14">
        <v>25</v>
      </c>
      <c r="AC32" s="15" t="str">
        <f t="shared" si="17"/>
        <v/>
      </c>
      <c r="AD32" s="14" t="str">
        <f t="shared" si="18"/>
        <v>VAR</v>
      </c>
      <c r="AE32" s="14" t="str">
        <f t="shared" si="19"/>
        <v>P&amp;I</v>
      </c>
      <c r="AF32" s="16" t="e">
        <f t="shared" si="20"/>
        <v>#VALUE!</v>
      </c>
      <c r="AG32" s="9" t="e">
        <f t="shared" si="21"/>
        <v>#VALUE!</v>
      </c>
      <c r="AH32" s="9" t="e">
        <f t="shared" si="22"/>
        <v>#VALUE!</v>
      </c>
      <c r="AI32" s="9" t="e">
        <f t="shared" si="23"/>
        <v>#VALUE!</v>
      </c>
      <c r="AJ32" s="9" t="str">
        <f t="shared" si="24"/>
        <v/>
      </c>
      <c r="AK32" s="10"/>
      <c r="AL32" s="9" t="e">
        <f t="shared" si="25"/>
        <v>#VALUE!</v>
      </c>
      <c r="AM32" s="313" t="e">
        <f t="shared" si="26"/>
        <v>#VALUE!</v>
      </c>
      <c r="AO32" s="9" t="e">
        <f t="shared" si="9"/>
        <v>#NUM!</v>
      </c>
      <c r="AP32" s="9" t="e">
        <f t="shared" si="10"/>
        <v>#VALUE!</v>
      </c>
    </row>
    <row r="33" spans="2:42" x14ac:dyDescent="0.2">
      <c r="B33" s="14">
        <v>26</v>
      </c>
      <c r="C33" s="15">
        <f t="shared" si="3"/>
        <v>0.04</v>
      </c>
      <c r="D33" s="14" t="str">
        <f t="shared" si="4"/>
        <v>VAR</v>
      </c>
      <c r="E33" s="14" t="str">
        <f t="shared" si="5"/>
        <v>P&amp;I</v>
      </c>
      <c r="F33" s="16" t="e">
        <f t="shared" si="6"/>
        <v>#NUM!</v>
      </c>
      <c r="G33" s="9" t="e">
        <f t="shared" si="7"/>
        <v>#NUM!</v>
      </c>
      <c r="H33" s="9" t="e">
        <f t="shared" si="11"/>
        <v>#NUM!</v>
      </c>
      <c r="I33" s="9" t="e">
        <f t="shared" si="12"/>
        <v>#NUM!</v>
      </c>
      <c r="J33" s="9" t="str">
        <f t="shared" si="13"/>
        <v/>
      </c>
      <c r="K33" s="10"/>
      <c r="L33" s="9" t="e">
        <f t="shared" si="14"/>
        <v>#NUM!</v>
      </c>
      <c r="M33" s="313" t="e">
        <f>IF(G33="","",L33+M32)</f>
        <v>#NUM!</v>
      </c>
      <c r="O33" s="14">
        <v>26</v>
      </c>
      <c r="P33" s="15" t="str">
        <f t="shared" si="27"/>
        <v/>
      </c>
      <c r="Q33" s="14" t="str">
        <f t="shared" si="33"/>
        <v>VAR</v>
      </c>
      <c r="R33" s="14" t="str">
        <f t="shared" si="34"/>
        <v>P&amp;I</v>
      </c>
      <c r="S33" s="16" t="e">
        <f t="shared" si="28"/>
        <v>#VALUE!</v>
      </c>
      <c r="T33" s="9" t="e">
        <f t="shared" si="35"/>
        <v>#VALUE!</v>
      </c>
      <c r="U33" s="9" t="e">
        <f t="shared" si="29"/>
        <v>#VALUE!</v>
      </c>
      <c r="V33" s="9" t="e">
        <f t="shared" si="30"/>
        <v>#VALUE!</v>
      </c>
      <c r="W33" s="9" t="str">
        <f t="shared" si="16"/>
        <v/>
      </c>
      <c r="X33" s="10"/>
      <c r="Y33" s="9" t="e">
        <f t="shared" si="31"/>
        <v>#VALUE!</v>
      </c>
      <c r="Z33" s="313" t="e">
        <f t="shared" si="32"/>
        <v>#VALUE!</v>
      </c>
      <c r="AB33" s="14">
        <v>26</v>
      </c>
      <c r="AC33" s="15" t="str">
        <f t="shared" si="17"/>
        <v/>
      </c>
      <c r="AD33" s="14" t="str">
        <f t="shared" si="18"/>
        <v>VAR</v>
      </c>
      <c r="AE33" s="14" t="str">
        <f t="shared" si="19"/>
        <v>P&amp;I</v>
      </c>
      <c r="AF33" s="16" t="e">
        <f t="shared" si="20"/>
        <v>#VALUE!</v>
      </c>
      <c r="AG33" s="9" t="e">
        <f t="shared" si="21"/>
        <v>#VALUE!</v>
      </c>
      <c r="AH33" s="9" t="e">
        <f t="shared" si="22"/>
        <v>#VALUE!</v>
      </c>
      <c r="AI33" s="9" t="e">
        <f t="shared" si="23"/>
        <v>#VALUE!</v>
      </c>
      <c r="AJ33" s="9" t="str">
        <f t="shared" si="24"/>
        <v/>
      </c>
      <c r="AK33" s="10"/>
      <c r="AL33" s="9" t="e">
        <f t="shared" si="25"/>
        <v>#VALUE!</v>
      </c>
      <c r="AM33" s="313" t="e">
        <f t="shared" si="26"/>
        <v>#VALUE!</v>
      </c>
      <c r="AO33" s="9" t="e">
        <f t="shared" si="9"/>
        <v>#NUM!</v>
      </c>
      <c r="AP33" s="9" t="e">
        <f t="shared" si="10"/>
        <v>#VALUE!</v>
      </c>
    </row>
    <row r="34" spans="2:42" x14ac:dyDescent="0.2">
      <c r="B34" s="14">
        <v>27</v>
      </c>
      <c r="C34" s="15">
        <f t="shared" si="3"/>
        <v>0.04</v>
      </c>
      <c r="D34" s="14" t="str">
        <f t="shared" si="4"/>
        <v>VAR</v>
      </c>
      <c r="E34" s="14" t="str">
        <f t="shared" si="5"/>
        <v>P&amp;I</v>
      </c>
      <c r="F34" s="16" t="e">
        <f t="shared" si="6"/>
        <v>#NUM!</v>
      </c>
      <c r="G34" s="9" t="e">
        <f>IF(G33="","",IF(G33&gt;1,FV(C34/12,12,F34,-G33),""))</f>
        <v>#NUM!</v>
      </c>
      <c r="H34" s="9" t="e">
        <f t="shared" si="11"/>
        <v>#NUM!</v>
      </c>
      <c r="I34" s="9" t="e">
        <f t="shared" si="12"/>
        <v>#NUM!</v>
      </c>
      <c r="J34" s="9" t="str">
        <f t="shared" si="13"/>
        <v/>
      </c>
      <c r="K34" s="10"/>
      <c r="L34" s="9" t="e">
        <f t="shared" si="14"/>
        <v>#NUM!</v>
      </c>
      <c r="M34" s="313" t="e">
        <f t="shared" si="15"/>
        <v>#NUM!</v>
      </c>
      <c r="O34" s="14">
        <v>27</v>
      </c>
      <c r="P34" s="15" t="str">
        <f t="shared" si="27"/>
        <v/>
      </c>
      <c r="Q34" s="14" t="str">
        <f t="shared" si="33"/>
        <v>VAR</v>
      </c>
      <c r="R34" s="14" t="str">
        <f t="shared" si="34"/>
        <v>P&amp;I</v>
      </c>
      <c r="S34" s="16" t="e">
        <f t="shared" si="28"/>
        <v>#VALUE!</v>
      </c>
      <c r="T34" s="9" t="e">
        <f t="shared" si="35"/>
        <v>#VALUE!</v>
      </c>
      <c r="U34" s="9" t="e">
        <f t="shared" si="29"/>
        <v>#VALUE!</v>
      </c>
      <c r="V34" s="9" t="e">
        <f t="shared" si="30"/>
        <v>#VALUE!</v>
      </c>
      <c r="W34" s="9" t="str">
        <f t="shared" si="16"/>
        <v/>
      </c>
      <c r="X34" s="10"/>
      <c r="Y34" s="9" t="e">
        <f t="shared" si="31"/>
        <v>#VALUE!</v>
      </c>
      <c r="Z34" s="313" t="e">
        <f t="shared" si="32"/>
        <v>#VALUE!</v>
      </c>
      <c r="AB34" s="14">
        <v>27</v>
      </c>
      <c r="AC34" s="15" t="str">
        <f t="shared" si="17"/>
        <v/>
      </c>
      <c r="AD34" s="14" t="str">
        <f t="shared" si="18"/>
        <v>VAR</v>
      </c>
      <c r="AE34" s="14" t="str">
        <f t="shared" si="19"/>
        <v>P&amp;I</v>
      </c>
      <c r="AF34" s="16" t="e">
        <f t="shared" si="20"/>
        <v>#VALUE!</v>
      </c>
      <c r="AG34" s="9" t="e">
        <f t="shared" si="21"/>
        <v>#VALUE!</v>
      </c>
      <c r="AH34" s="9" t="e">
        <f t="shared" si="22"/>
        <v>#VALUE!</v>
      </c>
      <c r="AI34" s="9" t="e">
        <f t="shared" si="23"/>
        <v>#VALUE!</v>
      </c>
      <c r="AJ34" s="9" t="str">
        <f t="shared" si="24"/>
        <v/>
      </c>
      <c r="AK34" s="10"/>
      <c r="AL34" s="9" t="e">
        <f t="shared" si="25"/>
        <v>#VALUE!</v>
      </c>
      <c r="AM34" s="313" t="e">
        <f t="shared" si="26"/>
        <v>#VALUE!</v>
      </c>
      <c r="AO34" s="9" t="e">
        <f t="shared" si="9"/>
        <v>#NUM!</v>
      </c>
      <c r="AP34" s="9" t="e">
        <f t="shared" si="10"/>
        <v>#VALUE!</v>
      </c>
    </row>
    <row r="35" spans="2:42" x14ac:dyDescent="0.2">
      <c r="B35" s="14">
        <v>28</v>
      </c>
      <c r="C35" s="15">
        <f t="shared" si="3"/>
        <v>0.04</v>
      </c>
      <c r="D35" s="14" t="str">
        <f t="shared" si="4"/>
        <v>VAR</v>
      </c>
      <c r="E35" s="14" t="str">
        <f t="shared" si="5"/>
        <v>P&amp;I</v>
      </c>
      <c r="F35" s="16" t="e">
        <f t="shared" si="6"/>
        <v>#NUM!</v>
      </c>
      <c r="G35" s="9" t="e">
        <f>IF(G34="","",IF(G34&gt;1,FV(C35/12,12,F35,-G34),""))</f>
        <v>#NUM!</v>
      </c>
      <c r="H35" s="9" t="e">
        <f t="shared" si="11"/>
        <v>#NUM!</v>
      </c>
      <c r="I35" s="9" t="e">
        <f t="shared" si="12"/>
        <v>#NUM!</v>
      </c>
      <c r="J35" s="9" t="str">
        <f t="shared" si="13"/>
        <v/>
      </c>
      <c r="K35" s="10"/>
      <c r="L35" s="9" t="e">
        <f t="shared" si="14"/>
        <v>#NUM!</v>
      </c>
      <c r="M35" s="313" t="e">
        <f t="shared" si="15"/>
        <v>#NUM!</v>
      </c>
      <c r="O35" s="14">
        <v>28</v>
      </c>
      <c r="P35" s="15" t="str">
        <f t="shared" si="27"/>
        <v/>
      </c>
      <c r="Q35" s="14" t="str">
        <f t="shared" si="33"/>
        <v>VAR</v>
      </c>
      <c r="R35" s="14" t="str">
        <f t="shared" si="34"/>
        <v>P&amp;I</v>
      </c>
      <c r="S35" s="16" t="e">
        <f t="shared" si="28"/>
        <v>#VALUE!</v>
      </c>
      <c r="T35" s="9" t="e">
        <f t="shared" si="35"/>
        <v>#VALUE!</v>
      </c>
      <c r="U35" s="9" t="e">
        <f t="shared" si="29"/>
        <v>#VALUE!</v>
      </c>
      <c r="V35" s="9" t="e">
        <f t="shared" si="30"/>
        <v>#VALUE!</v>
      </c>
      <c r="W35" s="9" t="str">
        <f t="shared" si="16"/>
        <v/>
      </c>
      <c r="X35" s="10"/>
      <c r="Y35" s="9" t="e">
        <f t="shared" si="31"/>
        <v>#VALUE!</v>
      </c>
      <c r="Z35" s="313" t="e">
        <f t="shared" si="32"/>
        <v>#VALUE!</v>
      </c>
      <c r="AB35" s="14">
        <v>28</v>
      </c>
      <c r="AC35" s="15" t="str">
        <f t="shared" si="17"/>
        <v/>
      </c>
      <c r="AD35" s="14" t="str">
        <f t="shared" si="18"/>
        <v>VAR</v>
      </c>
      <c r="AE35" s="14" t="str">
        <f t="shared" si="19"/>
        <v>P&amp;I</v>
      </c>
      <c r="AF35" s="16" t="e">
        <f t="shared" si="20"/>
        <v>#VALUE!</v>
      </c>
      <c r="AG35" s="9" t="e">
        <f t="shared" si="21"/>
        <v>#VALUE!</v>
      </c>
      <c r="AH35" s="9" t="e">
        <f t="shared" si="22"/>
        <v>#VALUE!</v>
      </c>
      <c r="AI35" s="9" t="e">
        <f t="shared" si="23"/>
        <v>#VALUE!</v>
      </c>
      <c r="AJ35" s="9" t="str">
        <f t="shared" si="24"/>
        <v/>
      </c>
      <c r="AK35" s="10"/>
      <c r="AL35" s="9" t="e">
        <f t="shared" si="25"/>
        <v>#VALUE!</v>
      </c>
      <c r="AM35" s="313" t="e">
        <f t="shared" si="26"/>
        <v>#VALUE!</v>
      </c>
      <c r="AO35" s="9" t="e">
        <f t="shared" si="9"/>
        <v>#NUM!</v>
      </c>
      <c r="AP35" s="9" t="e">
        <f t="shared" si="10"/>
        <v>#VALUE!</v>
      </c>
    </row>
    <row r="36" spans="2:42" x14ac:dyDescent="0.2">
      <c r="B36" s="14">
        <v>29</v>
      </c>
      <c r="C36" s="15">
        <f t="shared" si="3"/>
        <v>0.04</v>
      </c>
      <c r="D36" s="14" t="str">
        <f t="shared" si="4"/>
        <v>VAR</v>
      </c>
      <c r="E36" s="14" t="str">
        <f t="shared" si="5"/>
        <v>P&amp;I</v>
      </c>
      <c r="F36" s="16" t="e">
        <f>IF(E36="IO",+G35*C36/12,PMT(C36/12,+($F$3-B36+1)*12,-G35))</f>
        <v>#NUM!</v>
      </c>
      <c r="G36" s="9" t="e">
        <f>IF(G35="","",IF(G35&gt;1,FV(C36/12,12,F36,-G35),""))</f>
        <v>#NUM!</v>
      </c>
      <c r="H36" s="9" t="e">
        <f t="shared" si="11"/>
        <v>#NUM!</v>
      </c>
      <c r="I36" s="9" t="e">
        <f t="shared" si="12"/>
        <v>#NUM!</v>
      </c>
      <c r="J36" s="9" t="str">
        <f t="shared" si="13"/>
        <v/>
      </c>
      <c r="K36" s="10"/>
      <c r="L36" s="9" t="e">
        <f t="shared" si="14"/>
        <v>#NUM!</v>
      </c>
      <c r="M36" s="313" t="e">
        <f t="shared" si="15"/>
        <v>#NUM!</v>
      </c>
      <c r="O36" s="14">
        <v>29</v>
      </c>
      <c r="P36" s="15" t="str">
        <f t="shared" si="27"/>
        <v/>
      </c>
      <c r="Q36" s="14" t="str">
        <f t="shared" si="33"/>
        <v>VAR</v>
      </c>
      <c r="R36" s="14" t="str">
        <f t="shared" si="34"/>
        <v>P&amp;I</v>
      </c>
      <c r="S36" s="16" t="e">
        <f t="shared" si="28"/>
        <v>#VALUE!</v>
      </c>
      <c r="T36" s="9" t="e">
        <f t="shared" si="35"/>
        <v>#VALUE!</v>
      </c>
      <c r="U36" s="9" t="e">
        <f t="shared" si="29"/>
        <v>#VALUE!</v>
      </c>
      <c r="V36" s="9" t="e">
        <f t="shared" si="30"/>
        <v>#VALUE!</v>
      </c>
      <c r="W36" s="9" t="str">
        <f t="shared" si="16"/>
        <v/>
      </c>
      <c r="X36" s="10"/>
      <c r="Y36" s="9" t="e">
        <f t="shared" si="31"/>
        <v>#VALUE!</v>
      </c>
      <c r="Z36" s="313" t="e">
        <f t="shared" si="32"/>
        <v>#VALUE!</v>
      </c>
      <c r="AB36" s="14">
        <v>29</v>
      </c>
      <c r="AC36" s="15" t="str">
        <f t="shared" si="17"/>
        <v/>
      </c>
      <c r="AD36" s="14" t="str">
        <f t="shared" si="18"/>
        <v>VAR</v>
      </c>
      <c r="AE36" s="14" t="str">
        <f t="shared" si="19"/>
        <v>P&amp;I</v>
      </c>
      <c r="AF36" s="16" t="e">
        <f t="shared" si="20"/>
        <v>#VALUE!</v>
      </c>
      <c r="AG36" s="9" t="e">
        <f t="shared" si="21"/>
        <v>#VALUE!</v>
      </c>
      <c r="AH36" s="9" t="e">
        <f t="shared" si="22"/>
        <v>#VALUE!</v>
      </c>
      <c r="AI36" s="9" t="e">
        <f t="shared" si="23"/>
        <v>#VALUE!</v>
      </c>
      <c r="AJ36" s="9" t="str">
        <f t="shared" si="24"/>
        <v/>
      </c>
      <c r="AK36" s="10"/>
      <c r="AL36" s="9" t="e">
        <f t="shared" si="25"/>
        <v>#VALUE!</v>
      </c>
      <c r="AM36" s="313" t="e">
        <f t="shared" si="26"/>
        <v>#VALUE!</v>
      </c>
      <c r="AO36" s="9" t="e">
        <f t="shared" si="9"/>
        <v>#NUM!</v>
      </c>
      <c r="AP36" s="9" t="e">
        <f t="shared" si="10"/>
        <v>#VALUE!</v>
      </c>
    </row>
    <row r="37" spans="2:42" x14ac:dyDescent="0.2">
      <c r="B37" s="14">
        <v>30</v>
      </c>
      <c r="C37" s="15">
        <f t="shared" si="3"/>
        <v>0.04</v>
      </c>
      <c r="D37" s="14" t="str">
        <f t="shared" si="4"/>
        <v>VAR</v>
      </c>
      <c r="E37" s="14" t="str">
        <f t="shared" si="5"/>
        <v>P&amp;I</v>
      </c>
      <c r="F37" s="16" t="e">
        <f>IF(E37="IO",+G36*C37/12,PMT(C37/12,+($F$3-B37+1)*12,-G36))</f>
        <v>#NUM!</v>
      </c>
      <c r="G37" s="9" t="e">
        <f>IF(G36="","",IF(G36&gt;1,FV(C37/12,12,F37,-G36),""))</f>
        <v>#NUM!</v>
      </c>
      <c r="H37" s="9" t="e">
        <f t="shared" si="11"/>
        <v>#NUM!</v>
      </c>
      <c r="I37" s="9" t="e">
        <f t="shared" si="12"/>
        <v>#NUM!</v>
      </c>
      <c r="J37" s="9" t="str">
        <f t="shared" si="13"/>
        <v/>
      </c>
      <c r="K37" s="10"/>
      <c r="L37" s="9" t="e">
        <f t="shared" si="14"/>
        <v>#NUM!</v>
      </c>
      <c r="M37" s="313" t="e">
        <f t="shared" si="15"/>
        <v>#NUM!</v>
      </c>
      <c r="O37" s="14">
        <v>30</v>
      </c>
      <c r="P37" s="15" t="str">
        <f t="shared" si="27"/>
        <v/>
      </c>
      <c r="Q37" s="14" t="str">
        <f t="shared" si="33"/>
        <v>VAR</v>
      </c>
      <c r="R37" s="14" t="str">
        <f t="shared" si="34"/>
        <v>P&amp;I</v>
      </c>
      <c r="S37" s="16" t="e">
        <f t="shared" si="28"/>
        <v>#VALUE!</v>
      </c>
      <c r="T37" s="9" t="e">
        <f t="shared" si="35"/>
        <v>#VALUE!</v>
      </c>
      <c r="U37" s="9" t="e">
        <f t="shared" si="29"/>
        <v>#VALUE!</v>
      </c>
      <c r="V37" s="9" t="e">
        <f t="shared" si="30"/>
        <v>#VALUE!</v>
      </c>
      <c r="W37" s="9" t="str">
        <f t="shared" si="16"/>
        <v/>
      </c>
      <c r="X37" s="10"/>
      <c r="Y37" s="9" t="e">
        <f t="shared" si="31"/>
        <v>#VALUE!</v>
      </c>
      <c r="Z37" s="313" t="e">
        <f t="shared" si="32"/>
        <v>#VALUE!</v>
      </c>
      <c r="AB37" s="14">
        <v>30</v>
      </c>
      <c r="AC37" s="15" t="str">
        <f t="shared" si="17"/>
        <v/>
      </c>
      <c r="AD37" s="14" t="str">
        <f t="shared" si="18"/>
        <v>VAR</v>
      </c>
      <c r="AE37" s="14" t="str">
        <f t="shared" si="19"/>
        <v>P&amp;I</v>
      </c>
      <c r="AF37" s="16" t="e">
        <f t="shared" si="20"/>
        <v>#VALUE!</v>
      </c>
      <c r="AG37" s="9" t="e">
        <f t="shared" si="21"/>
        <v>#VALUE!</v>
      </c>
      <c r="AH37" s="9" t="e">
        <f t="shared" si="22"/>
        <v>#VALUE!</v>
      </c>
      <c r="AI37" s="9" t="e">
        <f t="shared" si="23"/>
        <v>#VALUE!</v>
      </c>
      <c r="AJ37" s="9" t="str">
        <f t="shared" si="24"/>
        <v/>
      </c>
      <c r="AK37" s="10"/>
      <c r="AL37" s="9" t="e">
        <f t="shared" si="25"/>
        <v>#VALUE!</v>
      </c>
      <c r="AM37" s="313" t="e">
        <f t="shared" si="26"/>
        <v>#VALUE!</v>
      </c>
      <c r="AO37" s="9" t="e">
        <f t="shared" si="9"/>
        <v>#NUM!</v>
      </c>
      <c r="AP37" s="9" t="e">
        <f t="shared" si="10"/>
        <v>#VALUE!</v>
      </c>
    </row>
    <row r="38" spans="2:42" x14ac:dyDescent="0.2">
      <c r="B38" s="11"/>
      <c r="C38" s="11"/>
      <c r="D38" s="11"/>
      <c r="E38" s="11"/>
      <c r="F38" s="11"/>
      <c r="G38" s="10"/>
      <c r="H38" s="10"/>
      <c r="I38" s="10"/>
      <c r="J38" s="10"/>
      <c r="L38" s="10"/>
      <c r="O38" s="11"/>
      <c r="P38" s="11"/>
      <c r="Q38" s="11"/>
      <c r="R38" s="11"/>
      <c r="S38" s="11"/>
      <c r="T38" s="10"/>
      <c r="U38" s="10"/>
      <c r="V38" s="10"/>
      <c r="W38" s="10"/>
      <c r="Y38" s="10"/>
      <c r="AB38" s="11"/>
      <c r="AC38" s="11"/>
      <c r="AD38" s="11"/>
      <c r="AE38" s="11"/>
      <c r="AF38" s="11"/>
      <c r="AG38" s="10"/>
      <c r="AH38" s="10"/>
      <c r="AI38" s="10"/>
      <c r="AJ38" s="10"/>
      <c r="AL38" s="10"/>
      <c r="AO38" s="10"/>
      <c r="AP38" s="10"/>
    </row>
    <row r="39" spans="2:42" x14ac:dyDescent="0.2">
      <c r="B39" s="18" t="s">
        <v>31</v>
      </c>
      <c r="C39" s="18"/>
      <c r="D39" s="18"/>
      <c r="E39" s="18"/>
      <c r="F39" s="18"/>
      <c r="G39" s="18"/>
      <c r="H39" s="19" t="e">
        <f>SUM(H8:H38)</f>
        <v>#NUM!</v>
      </c>
      <c r="I39" s="19" t="e">
        <f>SUM(I8:I38)</f>
        <v>#NUM!</v>
      </c>
      <c r="J39" s="19">
        <f>SUM(J8:J38)</f>
        <v>200</v>
      </c>
      <c r="L39" s="19" t="e">
        <f>SUM(L8:L38)</f>
        <v>#NUM!</v>
      </c>
      <c r="M39" s="19"/>
      <c r="O39" s="18" t="s">
        <v>31</v>
      </c>
      <c r="P39" s="18"/>
      <c r="Q39" s="18"/>
      <c r="R39" s="18"/>
      <c r="S39" s="18"/>
      <c r="T39" s="18"/>
      <c r="U39" s="19" t="e">
        <f>SUM(U8:U38)</f>
        <v>#VALUE!</v>
      </c>
      <c r="V39" s="19" t="e">
        <f>SUM(V8:V38)</f>
        <v>#VALUE!</v>
      </c>
      <c r="W39" s="19">
        <f>SUM(W8:W38)</f>
        <v>0</v>
      </c>
      <c r="Y39" s="19" t="e">
        <f>SUM(Y8:Y38)</f>
        <v>#VALUE!</v>
      </c>
      <c r="Z39" s="19"/>
      <c r="AB39" s="18" t="s">
        <v>31</v>
      </c>
      <c r="AC39" s="18"/>
      <c r="AD39" s="18"/>
      <c r="AE39" s="18"/>
      <c r="AF39" s="18"/>
      <c r="AG39" s="18"/>
      <c r="AH39" s="19" t="e">
        <f>SUM(AH8:AH38)</f>
        <v>#VALUE!</v>
      </c>
      <c r="AI39" s="19" t="e">
        <f>SUM(AI8:AI38)</f>
        <v>#VALUE!</v>
      </c>
      <c r="AJ39" s="19">
        <f>SUM(AJ8:AJ38)</f>
        <v>0</v>
      </c>
      <c r="AL39" s="19" t="e">
        <f>SUM(AL8:AL38)</f>
        <v>#VALUE!</v>
      </c>
      <c r="AM39" s="19"/>
      <c r="AO39" s="19" t="e">
        <f>SUM(AO8:AO38)</f>
        <v>#NUM!</v>
      </c>
      <c r="AP39" s="19" t="e">
        <f>SUM(AP8:AP38)</f>
        <v>#VALUE!</v>
      </c>
    </row>
  </sheetData>
  <mergeCells count="4">
    <mergeCell ref="B1:M1"/>
    <mergeCell ref="O1:Z1"/>
    <mergeCell ref="AB1:AM1"/>
    <mergeCell ref="AO1:AP1"/>
  </mergeCells>
  <conditionalFormatting sqref="F8:F37">
    <cfRule type="expression" dxfId="167" priority="3">
      <formula>"&gt;0"</formula>
    </cfRule>
  </conditionalFormatting>
  <conditionalFormatting sqref="S8:S37">
    <cfRule type="expression" dxfId="166" priority="2">
      <formula>"&gt;0"</formula>
    </cfRule>
  </conditionalFormatting>
  <conditionalFormatting sqref="AF8:AF37">
    <cfRule type="expression" dxfId="165" priority="1">
      <formula>"&gt;0"</formula>
    </cfRule>
  </conditionalFormatting>
  <dataValidations count="1">
    <dataValidation type="list" allowBlank="1" showInputMessage="1" showErrorMessage="1" sqref="K3 X3 AK3">
      <formula1>$U$2:$U$5</formula1>
    </dataValidation>
  </dataValidations>
  <pageMargins left="0.23622047244094491" right="0.23622047244094491" top="0.74803149606299213" bottom="0.74803149606299213" header="0.31496062992125984"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Y46"/>
  <sheetViews>
    <sheetView showGridLines="0" showRuler="0" topLeftCell="A16" zoomScaleNormal="100" workbookViewId="0">
      <selection activeCell="A34" sqref="A34:Z39"/>
    </sheetView>
  </sheetViews>
  <sheetFormatPr defaultColWidth="3.5703125" defaultRowHeight="18.75" customHeight="1" x14ac:dyDescent="0.25"/>
  <cols>
    <col min="1" max="7" width="3.5703125" style="21"/>
    <col min="8" max="9" width="3.5703125" style="21" customWidth="1"/>
    <col min="10" max="10" width="5.28515625" style="21" bestFit="1" customWidth="1"/>
    <col min="11" max="11" width="3.7109375" style="21" bestFit="1" customWidth="1"/>
    <col min="12" max="15" width="3.5703125" style="21"/>
    <col min="16" max="16" width="3.5703125" style="23"/>
    <col min="17" max="26" width="3.5703125" style="21"/>
    <col min="27" max="27" width="2.140625" style="21" customWidth="1"/>
    <col min="28" max="28" width="2.140625" style="129" customWidth="1"/>
    <col min="29" max="31" width="10" style="129" customWidth="1"/>
    <col min="32" max="32" width="5.28515625" style="129" customWidth="1"/>
    <col min="33" max="33" width="2.28515625" style="129" customWidth="1"/>
    <col min="34" max="34" width="1.7109375" style="129" customWidth="1"/>
    <col min="35" max="35" width="1.28515625" style="129" customWidth="1"/>
    <col min="36" max="36" width="5.28515625" style="129" customWidth="1"/>
    <col min="37" max="37" width="2.7109375" style="129" customWidth="1"/>
    <col min="38" max="38" width="1.7109375" style="129" customWidth="1"/>
    <col min="39" max="40" width="5.28515625" style="129" customWidth="1"/>
    <col min="41" max="41" width="5.42578125" style="129" customWidth="1"/>
    <col min="42" max="42" width="7.140625" style="129" customWidth="1"/>
    <col min="43" max="43" width="10.5703125" style="129" customWidth="1"/>
    <col min="44" max="44" width="24" style="129" customWidth="1"/>
    <col min="45" max="45" width="18.7109375" style="129" customWidth="1"/>
    <col min="46" max="47" width="10.5703125" style="94" customWidth="1"/>
    <col min="48" max="48" width="8" style="94" customWidth="1"/>
    <col min="49" max="49" width="5.5703125" style="94" customWidth="1"/>
    <col min="50" max="50" width="8.5703125" style="94" customWidth="1"/>
    <col min="51" max="62" width="3.5703125" style="94" customWidth="1"/>
    <col min="63" max="67" width="3.5703125" style="129" customWidth="1"/>
    <col min="68" max="68" width="2" style="129" customWidth="1"/>
    <col min="69" max="69" width="7.5703125" style="129" customWidth="1"/>
    <col min="70" max="70" width="8.5703125" style="129" customWidth="1"/>
    <col min="71" max="71" width="7" style="129" customWidth="1"/>
    <col min="72" max="72" width="8.5703125" style="129" customWidth="1"/>
    <col min="73" max="76" width="3.5703125" style="129" customWidth="1"/>
    <col min="77" max="77" width="9.28515625" style="129" customWidth="1"/>
    <col min="78" max="78" width="3.5703125" style="129" customWidth="1"/>
    <col min="79" max="81" width="8.28515625" style="129" customWidth="1"/>
    <col min="82" max="84" width="3.5703125" style="129" customWidth="1"/>
    <col min="85" max="86" width="3.5703125" style="21" customWidth="1"/>
    <col min="87" max="87" width="12" style="21" customWidth="1"/>
    <col min="88" max="88" width="7.5703125" style="21" customWidth="1"/>
    <col min="89" max="89" width="3.5703125" style="21" customWidth="1"/>
    <col min="90" max="90" width="7.5703125" style="21" customWidth="1"/>
    <col min="91" max="91" width="3.5703125" style="21" customWidth="1"/>
    <col min="92" max="92" width="8" style="21" customWidth="1"/>
    <col min="93" max="120" width="3.5703125" style="21" customWidth="1"/>
    <col min="121" max="155" width="3.5703125" style="326"/>
    <col min="156" max="16384" width="3.5703125" style="21"/>
  </cols>
  <sheetData>
    <row r="1" spans="1:155" ht="48" customHeight="1" x14ac:dyDescent="0.25">
      <c r="A1" s="1622" t="s">
        <v>1327</v>
      </c>
      <c r="B1" s="1622"/>
      <c r="C1" s="1622"/>
      <c r="D1" s="1622"/>
      <c r="E1" s="1622"/>
      <c r="F1" s="1622"/>
      <c r="G1" s="1622"/>
      <c r="H1" s="1622"/>
      <c r="I1" s="1622"/>
      <c r="J1" s="1622"/>
      <c r="K1" s="1622"/>
      <c r="L1" s="1622"/>
      <c r="M1" s="1622"/>
      <c r="N1" s="1622"/>
      <c r="O1" s="1622"/>
      <c r="P1" s="609"/>
      <c r="Q1" s="609"/>
      <c r="R1" s="609"/>
      <c r="S1" s="1723"/>
      <c r="T1" s="1723"/>
      <c r="U1" s="1723"/>
      <c r="V1" s="1723"/>
      <c r="W1" s="1723"/>
      <c r="X1" s="1723"/>
      <c r="Y1" s="1723"/>
      <c r="Z1" s="1723"/>
      <c r="CI1" s="573">
        <f>+A8</f>
        <v>0</v>
      </c>
    </row>
    <row r="2" spans="1:155" s="27" customFormat="1" ht="8.65"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B2" s="153"/>
      <c r="AC2" s="153"/>
      <c r="AD2" s="153"/>
      <c r="AE2" s="153"/>
      <c r="AF2" s="153"/>
      <c r="AG2" s="153"/>
      <c r="AH2" s="153"/>
      <c r="AI2" s="153"/>
      <c r="AJ2" s="153"/>
      <c r="AK2" s="153"/>
      <c r="AL2" s="153"/>
      <c r="AM2" s="153"/>
      <c r="AN2" s="153"/>
      <c r="AO2" s="153"/>
      <c r="AP2" s="153"/>
      <c r="AQ2" s="153"/>
      <c r="AR2" s="153"/>
      <c r="AS2" s="153"/>
      <c r="AT2" s="597"/>
      <c r="AU2" s="597"/>
      <c r="AV2" s="597"/>
      <c r="AW2" s="597"/>
      <c r="AX2" s="597"/>
      <c r="AY2" s="597"/>
      <c r="AZ2" s="597"/>
      <c r="BA2" s="597"/>
      <c r="BB2" s="597"/>
      <c r="BC2" s="597"/>
      <c r="BD2" s="597"/>
      <c r="BE2" s="597"/>
      <c r="BF2" s="597"/>
      <c r="BG2" s="597"/>
      <c r="BH2" s="597"/>
      <c r="BI2" s="597"/>
      <c r="BJ2" s="597"/>
      <c r="BK2" s="153"/>
      <c r="BL2" s="153"/>
      <c r="BM2" s="153"/>
      <c r="BN2" s="153"/>
      <c r="BO2" s="153"/>
      <c r="BP2" s="153"/>
      <c r="BQ2" s="153"/>
      <c r="BR2" s="153"/>
      <c r="BS2" s="153"/>
      <c r="BT2" s="153"/>
      <c r="BU2" s="153"/>
      <c r="BV2" s="153"/>
      <c r="BW2" s="153"/>
      <c r="BX2" s="153"/>
      <c r="BY2" s="153"/>
      <c r="BZ2" s="153"/>
      <c r="CA2" s="153"/>
      <c r="CB2" s="153"/>
      <c r="CC2" s="153"/>
      <c r="CD2" s="153"/>
      <c r="CE2" s="153"/>
      <c r="CF2" s="153"/>
      <c r="CI2" s="604"/>
      <c r="DQ2" s="712"/>
      <c r="DR2" s="712"/>
      <c r="DS2" s="712"/>
      <c r="DT2" s="712"/>
      <c r="DU2" s="712"/>
      <c r="DV2" s="712"/>
      <c r="DW2" s="712"/>
      <c r="DX2" s="712"/>
      <c r="DY2" s="712"/>
      <c r="DZ2" s="712"/>
      <c r="EA2" s="712"/>
      <c r="EB2" s="712"/>
      <c r="EC2" s="712"/>
      <c r="ED2" s="712"/>
      <c r="EE2" s="712"/>
      <c r="EF2" s="712"/>
      <c r="EG2" s="712"/>
      <c r="EH2" s="712"/>
      <c r="EI2" s="712"/>
      <c r="EJ2" s="712"/>
      <c r="EK2" s="712"/>
      <c r="EL2" s="712"/>
      <c r="EM2" s="712"/>
      <c r="EN2" s="712"/>
      <c r="EO2" s="712"/>
      <c r="EP2" s="712"/>
      <c r="EQ2" s="712"/>
      <c r="ER2" s="712"/>
      <c r="ES2" s="712"/>
      <c r="ET2" s="712"/>
      <c r="EU2" s="712"/>
      <c r="EV2" s="712"/>
      <c r="EW2" s="712"/>
      <c r="EX2" s="712"/>
      <c r="EY2" s="712"/>
    </row>
    <row r="3" spans="1:155" s="1" customFormat="1" ht="14.65" customHeight="1" x14ac:dyDescent="0.25">
      <c r="A3" s="1724" t="s">
        <v>669</v>
      </c>
      <c r="B3" s="1724"/>
      <c r="C3" s="1724"/>
      <c r="D3" s="1724"/>
      <c r="E3" s="1724"/>
      <c r="F3" s="687"/>
      <c r="G3" s="1726" t="str">
        <f>+Profile!BE8</f>
        <v xml:space="preserve"> </v>
      </c>
      <c r="H3" s="1726"/>
      <c r="I3" s="1726"/>
      <c r="J3" s="1726"/>
      <c r="K3" s="1726"/>
      <c r="L3" s="1726"/>
      <c r="M3" s="1726"/>
      <c r="N3" s="1726"/>
      <c r="O3" s="1726"/>
      <c r="P3" s="1726"/>
      <c r="Q3" s="1726"/>
      <c r="R3" s="1724" t="s">
        <v>685</v>
      </c>
      <c r="S3" s="1724"/>
      <c r="T3" s="1724"/>
      <c r="U3" s="1727" t="str">
        <f>IF(A11="Purchase Price",CONCATENATE("Purchase - ",+G12),CONCATENATE("Refinance - ",+G12))</f>
        <v>Purchase - Invest</v>
      </c>
      <c r="V3" s="1727"/>
      <c r="W3" s="1727"/>
      <c r="X3" s="1727"/>
      <c r="Y3" s="1727"/>
      <c r="Z3" s="1727"/>
      <c r="AB3" s="131"/>
      <c r="AC3" s="131"/>
      <c r="AD3" s="131"/>
      <c r="AE3" s="131"/>
      <c r="AF3" s="131"/>
      <c r="AG3" s="131"/>
      <c r="AH3" s="131"/>
      <c r="AI3" s="131"/>
      <c r="AJ3" s="131"/>
      <c r="AK3" s="131"/>
      <c r="AL3" s="131"/>
      <c r="AM3" s="131"/>
      <c r="AN3" s="131"/>
      <c r="AO3" s="131"/>
      <c r="AP3" s="131"/>
      <c r="AQ3" s="131"/>
      <c r="AR3" s="131"/>
      <c r="AS3" s="131"/>
      <c r="AT3" s="135"/>
      <c r="AU3" s="135"/>
      <c r="AV3" s="135"/>
      <c r="AW3" s="135"/>
      <c r="AX3" s="135"/>
      <c r="AY3" s="135"/>
      <c r="AZ3" s="135"/>
      <c r="BA3" s="135"/>
      <c r="BB3" s="135"/>
      <c r="BC3" s="135"/>
      <c r="BD3" s="135"/>
      <c r="BE3" s="135"/>
      <c r="BF3" s="135"/>
      <c r="BG3" s="135"/>
      <c r="BH3" s="135"/>
      <c r="BI3" s="135"/>
      <c r="BJ3" s="135"/>
      <c r="BK3" s="131"/>
      <c r="BL3" s="131"/>
      <c r="BM3" s="131"/>
      <c r="BN3" s="131"/>
      <c r="BO3" s="131"/>
      <c r="BP3" s="131"/>
      <c r="BQ3" s="131"/>
      <c r="BR3" s="131"/>
      <c r="BS3" s="131"/>
      <c r="BT3" s="131"/>
      <c r="BU3" s="131"/>
      <c r="BV3" s="131"/>
      <c r="BW3" s="131"/>
      <c r="BX3" s="131"/>
      <c r="BY3" s="131"/>
      <c r="BZ3" s="131"/>
      <c r="CA3" s="131"/>
      <c r="CB3" s="131"/>
      <c r="CC3" s="131"/>
      <c r="CD3" s="131"/>
      <c r="CE3" s="131"/>
      <c r="CF3" s="131"/>
      <c r="CI3" s="605"/>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c r="EO3" s="354"/>
      <c r="EP3" s="354"/>
      <c r="EQ3" s="354"/>
      <c r="ER3" s="354"/>
      <c r="ES3" s="354"/>
      <c r="ET3" s="354"/>
      <c r="EU3" s="354"/>
      <c r="EV3" s="354"/>
      <c r="EW3" s="354"/>
      <c r="EX3" s="354"/>
      <c r="EY3" s="354"/>
    </row>
    <row r="4" spans="1:155" s="1" customFormat="1" ht="14.65" customHeight="1" x14ac:dyDescent="0.25">
      <c r="A4" s="1724" t="s">
        <v>670</v>
      </c>
      <c r="B4" s="1724"/>
      <c r="C4" s="1724"/>
      <c r="D4" s="1724"/>
      <c r="E4" s="1724"/>
      <c r="F4" s="687"/>
      <c r="G4" s="1725" t="str">
        <f>IF(+Purchase="","",+Purchase)</f>
        <v/>
      </c>
      <c r="H4" s="1725"/>
      <c r="I4" s="1725"/>
      <c r="J4" s="688"/>
      <c r="K4" s="688"/>
      <c r="L4" s="688"/>
      <c r="M4" s="688"/>
      <c r="N4" s="688"/>
      <c r="O4" s="688"/>
      <c r="P4" s="688"/>
      <c r="Q4" s="688"/>
      <c r="R4" s="1724" t="s">
        <v>686</v>
      </c>
      <c r="S4" s="1724"/>
      <c r="T4" s="1724"/>
      <c r="U4" s="1727" t="str">
        <f>+P33</f>
        <v/>
      </c>
      <c r="V4" s="1727"/>
      <c r="W4" s="1727"/>
      <c r="X4" s="1727"/>
      <c r="Y4" s="1727"/>
      <c r="Z4" s="686"/>
      <c r="AB4" s="131"/>
      <c r="AC4" s="131"/>
      <c r="AD4" s="131"/>
      <c r="AE4" s="131"/>
      <c r="AF4" s="131"/>
      <c r="AG4" s="131"/>
      <c r="AH4" s="131"/>
      <c r="AI4" s="131"/>
      <c r="AJ4" s="131"/>
      <c r="AK4" s="131"/>
      <c r="AL4" s="131"/>
      <c r="AM4" s="131"/>
      <c r="AN4" s="131"/>
      <c r="AO4" s="131"/>
      <c r="AP4" s="131"/>
      <c r="AQ4" s="131"/>
      <c r="AR4" s="131"/>
      <c r="AS4" s="131"/>
      <c r="AT4" s="135"/>
      <c r="AU4" s="135"/>
      <c r="AV4" s="135"/>
      <c r="AW4" s="135"/>
      <c r="AX4" s="135"/>
      <c r="AY4" s="135"/>
      <c r="AZ4" s="135"/>
      <c r="BA4" s="135"/>
      <c r="BB4" s="135"/>
      <c r="BC4" s="135"/>
      <c r="BD4" s="135"/>
      <c r="BE4" s="135"/>
      <c r="BF4" s="135"/>
      <c r="BG4" s="135"/>
      <c r="BH4" s="135"/>
      <c r="BI4" s="135"/>
      <c r="BJ4" s="135"/>
      <c r="BK4" s="131"/>
      <c r="BL4" s="131"/>
      <c r="BM4" s="131"/>
      <c r="BN4" s="131"/>
      <c r="BO4" s="131"/>
      <c r="BP4" s="131"/>
      <c r="BQ4" s="131"/>
      <c r="BR4" s="131"/>
      <c r="BS4" s="131"/>
      <c r="BT4" s="131"/>
      <c r="BU4" s="131"/>
      <c r="BV4" s="131"/>
      <c r="BW4" s="131"/>
      <c r="BX4" s="131"/>
      <c r="BY4" s="131"/>
      <c r="BZ4" s="131"/>
      <c r="CA4" s="131"/>
      <c r="CB4" s="131"/>
      <c r="CC4" s="131"/>
      <c r="CD4" s="131"/>
      <c r="CE4" s="131"/>
      <c r="CF4" s="131"/>
      <c r="CI4" s="605"/>
      <c r="DQ4" s="354"/>
      <c r="DR4" s="354"/>
      <c r="DS4" s="354"/>
      <c r="DT4" s="354"/>
      <c r="DU4" s="354"/>
      <c r="DV4" s="354"/>
      <c r="DW4" s="354"/>
      <c r="DX4" s="354"/>
      <c r="DY4" s="354"/>
      <c r="DZ4" s="354"/>
      <c r="EA4" s="354"/>
      <c r="EB4" s="354"/>
      <c r="EC4" s="354"/>
      <c r="ED4" s="354"/>
      <c r="EE4" s="354"/>
      <c r="EF4" s="354"/>
      <c r="EG4" s="354"/>
      <c r="EH4" s="354"/>
      <c r="EI4" s="354"/>
      <c r="EJ4" s="354"/>
      <c r="EK4" s="354"/>
      <c r="EL4" s="354"/>
      <c r="EM4" s="354"/>
      <c r="EN4" s="354"/>
      <c r="EO4" s="354"/>
      <c r="EP4" s="354"/>
      <c r="EQ4" s="354"/>
      <c r="ER4" s="354"/>
      <c r="ES4" s="354"/>
      <c r="ET4" s="354"/>
      <c r="EU4" s="354"/>
      <c r="EV4" s="354"/>
      <c r="EW4" s="354"/>
      <c r="EX4" s="354"/>
      <c r="EY4" s="354"/>
    </row>
    <row r="5" spans="1:155" s="27" customFormat="1" ht="8.1" customHeight="1" x14ac:dyDescent="0.25">
      <c r="A5" s="689"/>
      <c r="B5" s="689"/>
      <c r="C5" s="689"/>
      <c r="D5" s="689"/>
      <c r="E5" s="689"/>
      <c r="F5" s="689"/>
      <c r="G5" s="689"/>
      <c r="H5" s="690"/>
      <c r="I5" s="690"/>
      <c r="J5" s="689"/>
      <c r="K5" s="689"/>
      <c r="L5" s="689"/>
      <c r="M5" s="689"/>
      <c r="N5" s="689"/>
      <c r="O5" s="689"/>
      <c r="P5" s="689"/>
      <c r="Q5" s="689"/>
      <c r="R5" s="689"/>
      <c r="S5" s="689"/>
      <c r="T5" s="689"/>
      <c r="U5" s="689"/>
      <c r="V5" s="689"/>
      <c r="W5" s="689"/>
      <c r="X5" s="689"/>
      <c r="Y5" s="689"/>
      <c r="Z5" s="689"/>
      <c r="AB5" s="153"/>
      <c r="AC5" s="153"/>
      <c r="AD5" s="153"/>
      <c r="AE5" s="153"/>
      <c r="AF5" s="153"/>
      <c r="AG5" s="153"/>
      <c r="AH5" s="153"/>
      <c r="AI5" s="153"/>
      <c r="AJ5" s="153"/>
      <c r="AK5" s="153"/>
      <c r="AL5" s="153"/>
      <c r="AM5" s="153"/>
      <c r="AN5" s="153"/>
      <c r="AO5" s="153"/>
      <c r="AP5" s="153"/>
      <c r="AQ5" s="153"/>
      <c r="AR5" s="153"/>
      <c r="AS5" s="153"/>
      <c r="AT5" s="597"/>
      <c r="AU5" s="597"/>
      <c r="AV5" s="597"/>
      <c r="AW5" s="597"/>
      <c r="AX5" s="597"/>
      <c r="AY5" s="597"/>
      <c r="AZ5" s="597"/>
      <c r="BA5" s="597"/>
      <c r="BB5" s="597"/>
      <c r="BC5" s="597"/>
      <c r="BD5" s="597"/>
      <c r="BE5" s="597"/>
      <c r="BF5" s="597"/>
      <c r="BG5" s="597"/>
      <c r="BH5" s="597"/>
      <c r="BI5" s="597"/>
      <c r="BJ5" s="597"/>
      <c r="BK5" s="153"/>
      <c r="BL5" s="153"/>
      <c r="BM5" s="153"/>
      <c r="BN5" s="153"/>
      <c r="BO5" s="153"/>
      <c r="BP5" s="153"/>
      <c r="BQ5" s="153"/>
      <c r="BR5" s="153"/>
      <c r="BS5" s="153"/>
      <c r="BT5" s="153"/>
      <c r="BU5" s="153"/>
      <c r="BV5" s="153"/>
      <c r="BW5" s="153"/>
      <c r="BX5" s="153"/>
      <c r="BY5" s="153"/>
      <c r="BZ5" s="153"/>
      <c r="CA5" s="153"/>
      <c r="CB5" s="153"/>
      <c r="CC5" s="153"/>
      <c r="CD5" s="153"/>
      <c r="CE5" s="153"/>
      <c r="CF5" s="153"/>
      <c r="CI5" s="604"/>
      <c r="DQ5" s="712"/>
      <c r="DR5" s="712"/>
      <c r="DS5" s="712"/>
      <c r="DT5" s="712"/>
      <c r="DU5" s="712"/>
      <c r="DV5" s="712"/>
      <c r="DW5" s="712"/>
      <c r="DX5" s="712"/>
      <c r="DY5" s="712"/>
      <c r="DZ5" s="712"/>
      <c r="EA5" s="712"/>
      <c r="EB5" s="712"/>
      <c r="EC5" s="712"/>
      <c r="ED5" s="712"/>
      <c r="EE5" s="712"/>
      <c r="EF5" s="712"/>
      <c r="EG5" s="712"/>
      <c r="EH5" s="712"/>
      <c r="EI5" s="712"/>
      <c r="EJ5" s="712"/>
      <c r="EK5" s="712"/>
      <c r="EL5" s="712"/>
      <c r="EM5" s="712"/>
      <c r="EN5" s="712"/>
      <c r="EO5" s="712"/>
      <c r="EP5" s="712"/>
      <c r="EQ5" s="712"/>
      <c r="ER5" s="712"/>
      <c r="ES5" s="712"/>
      <c r="ET5" s="712"/>
      <c r="EU5" s="712"/>
      <c r="EV5" s="712"/>
      <c r="EW5" s="712"/>
      <c r="EX5" s="712"/>
      <c r="EY5" s="712"/>
    </row>
    <row r="6" spans="1:155" s="1" customFormat="1" ht="12.75" x14ac:dyDescent="0.25">
      <c r="A6" s="1722" t="s">
        <v>270</v>
      </c>
      <c r="B6" s="1722"/>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686"/>
      <c r="AB6" s="131"/>
      <c r="AC6" s="131"/>
      <c r="AD6" s="131"/>
      <c r="AE6" s="131"/>
      <c r="AF6" s="131"/>
      <c r="AG6" s="131"/>
      <c r="AH6" s="131"/>
      <c r="AI6" s="131"/>
      <c r="AJ6" s="131"/>
      <c r="AK6" s="131"/>
      <c r="AL6" s="131"/>
      <c r="AM6" s="131"/>
      <c r="AN6" s="131"/>
      <c r="AO6" s="131"/>
      <c r="AP6" s="131"/>
      <c r="AQ6" s="131"/>
      <c r="AR6" s="131"/>
      <c r="AS6" s="131"/>
      <c r="AT6" s="135"/>
      <c r="AU6" s="135"/>
      <c r="AV6" s="135"/>
      <c r="AW6" s="135"/>
      <c r="AX6" s="135"/>
      <c r="AY6" s="135"/>
      <c r="AZ6" s="135"/>
      <c r="BA6" s="135"/>
      <c r="BB6" s="135"/>
      <c r="BC6" s="135"/>
      <c r="BD6" s="135"/>
      <c r="BE6" s="135"/>
      <c r="BF6" s="135"/>
      <c r="BG6" s="135"/>
      <c r="BH6" s="135"/>
      <c r="BI6" s="135"/>
      <c r="BJ6" s="135"/>
      <c r="BK6" s="131"/>
      <c r="BL6" s="131"/>
      <c r="BM6" s="131"/>
      <c r="BN6" s="131"/>
      <c r="BO6" s="131"/>
      <c r="BP6" s="131"/>
      <c r="BQ6" s="131"/>
      <c r="BR6" s="131"/>
      <c r="BS6" s="131"/>
      <c r="BT6" s="131"/>
      <c r="BU6" s="131"/>
      <c r="BV6" s="131"/>
      <c r="BW6" s="131"/>
      <c r="BX6" s="131"/>
      <c r="BY6" s="131"/>
      <c r="BZ6" s="131"/>
      <c r="CA6" s="131"/>
      <c r="CB6" s="131"/>
      <c r="CC6" s="131"/>
      <c r="CD6" s="131"/>
      <c r="CE6" s="131"/>
      <c r="CF6" s="131"/>
      <c r="CI6" s="605"/>
      <c r="DQ6" s="354"/>
      <c r="DR6" s="354"/>
      <c r="DS6" s="354"/>
      <c r="DT6" s="354"/>
      <c r="DU6" s="354"/>
      <c r="DV6" s="354"/>
      <c r="DW6" s="354"/>
      <c r="DX6" s="354"/>
      <c r="DY6" s="354"/>
      <c r="DZ6" s="354"/>
      <c r="EA6" s="354"/>
      <c r="EB6" s="354"/>
      <c r="EC6" s="354"/>
      <c r="ED6" s="354"/>
      <c r="EE6" s="354"/>
      <c r="EF6" s="354"/>
      <c r="EG6" s="354"/>
      <c r="EH6" s="354"/>
      <c r="EI6" s="354"/>
      <c r="EJ6" s="354"/>
      <c r="EK6" s="354"/>
      <c r="EL6" s="354"/>
      <c r="EM6" s="354"/>
      <c r="EN6" s="354"/>
      <c r="EO6" s="354"/>
      <c r="EP6" s="354"/>
      <c r="EQ6" s="354"/>
      <c r="ER6" s="354"/>
      <c r="ES6" s="354"/>
      <c r="ET6" s="354"/>
      <c r="EU6" s="354"/>
      <c r="EV6" s="354"/>
      <c r="EW6" s="354"/>
      <c r="EX6" s="354"/>
      <c r="EY6" s="354"/>
    </row>
    <row r="7" spans="1:155" s="1" customFormat="1" ht="26.25" x14ac:dyDescent="0.2">
      <c r="A7" s="1718" t="s">
        <v>287</v>
      </c>
      <c r="B7" s="1718"/>
      <c r="C7" s="1718"/>
      <c r="D7" s="1718"/>
      <c r="E7" s="1718"/>
      <c r="F7" s="1718"/>
      <c r="G7" s="1718"/>
      <c r="H7" s="1718"/>
      <c r="I7" s="1718"/>
      <c r="J7" s="1729"/>
      <c r="K7" s="1729"/>
      <c r="L7" s="1729"/>
      <c r="M7" s="1729"/>
      <c r="N7" s="1729"/>
      <c r="O7" s="1729"/>
      <c r="P7" s="1730"/>
      <c r="Q7" s="1731"/>
      <c r="R7" s="1731"/>
      <c r="S7" s="390"/>
      <c r="T7" s="1742" t="s">
        <v>919</v>
      </c>
      <c r="U7" s="1742"/>
      <c r="V7" s="1742"/>
      <c r="W7" s="1742"/>
      <c r="X7" s="1741" t="e">
        <f>+AF12*52/Purchase</f>
        <v>#DIV/0!</v>
      </c>
      <c r="Y7" s="1741"/>
      <c r="Z7" s="970"/>
      <c r="AA7" s="101"/>
      <c r="AB7" s="141"/>
      <c r="AC7" s="131"/>
      <c r="AD7" s="131"/>
      <c r="AE7" s="223"/>
      <c r="AF7" s="223"/>
      <c r="AG7" s="223"/>
      <c r="AH7" s="223"/>
      <c r="AI7" s="223"/>
      <c r="AJ7" s="223"/>
      <c r="AK7" s="223"/>
      <c r="AL7" s="223"/>
      <c r="AM7" s="223"/>
      <c r="AN7" s="223"/>
      <c r="AO7" s="223"/>
      <c r="AP7" s="223"/>
      <c r="AQ7" s="223"/>
      <c r="AR7" s="1002"/>
      <c r="AS7" s="1002"/>
      <c r="AT7" s="1002"/>
      <c r="AU7" s="1002"/>
      <c r="AV7" s="1002"/>
      <c r="AW7" s="1002"/>
      <c r="AX7" s="1002"/>
      <c r="AY7" s="1002"/>
      <c r="AZ7" s="1002"/>
      <c r="BA7" s="1002"/>
      <c r="BB7" s="1002"/>
      <c r="BC7" s="1002"/>
      <c r="BD7" s="1002"/>
      <c r="BE7" s="1002"/>
      <c r="BF7" s="1002"/>
      <c r="BG7" s="1002"/>
      <c r="BH7" s="1002"/>
      <c r="BI7" s="1002"/>
      <c r="BJ7" s="1002"/>
      <c r="BK7" s="1002"/>
      <c r="BL7" s="1002"/>
      <c r="BM7" s="1002"/>
      <c r="BN7" s="1002"/>
      <c r="BO7" s="1002"/>
      <c r="BP7" s="131"/>
      <c r="BQ7" s="131"/>
      <c r="BR7" s="131"/>
      <c r="BS7" s="131"/>
      <c r="BT7" s="131"/>
      <c r="BU7" s="131"/>
      <c r="BV7" s="131"/>
      <c r="BW7" s="131"/>
      <c r="BX7" s="131"/>
      <c r="BY7" s="131"/>
      <c r="BZ7" s="131"/>
      <c r="CA7" s="131"/>
      <c r="CB7" s="131"/>
      <c r="CC7" s="131"/>
      <c r="CD7" s="131"/>
      <c r="CE7" s="131"/>
      <c r="CF7" s="131"/>
      <c r="CI7" s="421" t="s">
        <v>604</v>
      </c>
      <c r="CJ7" s="606" t="s">
        <v>605</v>
      </c>
      <c r="CL7" s="606" t="s">
        <v>606</v>
      </c>
      <c r="DQ7" s="354"/>
      <c r="DR7" s="354"/>
      <c r="DS7" s="354"/>
      <c r="DT7" s="354"/>
      <c r="DU7" s="354"/>
      <c r="DV7" s="354"/>
      <c r="DW7" s="354"/>
      <c r="DX7" s="354"/>
      <c r="DY7" s="354"/>
      <c r="DZ7" s="354"/>
      <c r="EA7" s="354"/>
      <c r="EB7" s="354"/>
      <c r="EC7" s="354"/>
      <c r="ED7" s="354"/>
      <c r="EE7" s="354"/>
      <c r="EF7" s="354"/>
      <c r="EG7" s="354"/>
      <c r="EH7" s="354"/>
      <c r="EI7" s="354"/>
      <c r="EJ7" s="354"/>
      <c r="EK7" s="354"/>
      <c r="EL7" s="354"/>
      <c r="EM7" s="354"/>
      <c r="EN7" s="354"/>
      <c r="EO7" s="354"/>
      <c r="EP7" s="354"/>
      <c r="EQ7" s="354"/>
      <c r="ER7" s="354"/>
      <c r="ES7" s="354"/>
      <c r="ET7" s="354"/>
      <c r="EU7" s="354"/>
      <c r="EV7" s="354"/>
      <c r="EW7" s="354"/>
      <c r="EX7" s="354"/>
      <c r="EY7" s="354"/>
    </row>
    <row r="8" spans="1:155" s="225" customFormat="1" ht="18.399999999999999" customHeight="1" x14ac:dyDescent="0.25">
      <c r="A8" s="1713"/>
      <c r="B8" s="1714"/>
      <c r="C8" s="1714"/>
      <c r="D8" s="1714"/>
      <c r="E8" s="1714"/>
      <c r="F8" s="1714"/>
      <c r="G8" s="1714"/>
      <c r="H8" s="1714"/>
      <c r="I8" s="1714"/>
      <c r="J8" s="1714"/>
      <c r="K8" s="1714"/>
      <c r="L8" s="1714"/>
      <c r="M8" s="1714"/>
      <c r="N8" s="1714"/>
      <c r="O8" s="1714"/>
      <c r="P8" s="1714"/>
      <c r="Q8" s="1714"/>
      <c r="R8" s="1715"/>
      <c r="S8" s="968"/>
      <c r="T8" s="1751" t="s">
        <v>918</v>
      </c>
      <c r="U8" s="1751"/>
      <c r="V8" s="1751"/>
      <c r="W8" s="1751"/>
      <c r="X8" s="1716"/>
      <c r="Y8" s="1717"/>
      <c r="Z8" s="967" t="s">
        <v>882</v>
      </c>
      <c r="AA8" s="101"/>
      <c r="AB8" s="141"/>
      <c r="AC8" s="131"/>
      <c r="AD8" s="131"/>
      <c r="AE8" s="223"/>
      <c r="AF8" s="223"/>
      <c r="AG8" s="223"/>
      <c r="AH8" s="223"/>
      <c r="AI8" s="223"/>
      <c r="AJ8" s="223"/>
      <c r="AK8" s="223"/>
      <c r="AL8" s="223"/>
      <c r="AM8" s="223"/>
      <c r="AN8" s="223"/>
      <c r="AO8" s="223"/>
      <c r="AP8" s="223"/>
      <c r="AQ8" s="223"/>
      <c r="AR8" s="223"/>
      <c r="AS8" s="1711" t="s">
        <v>409</v>
      </c>
      <c r="AT8" s="610" t="s">
        <v>410</v>
      </c>
      <c r="AU8" s="611">
        <f ca="1">TODAY()</f>
        <v>42797</v>
      </c>
      <c r="AV8" s="610"/>
      <c r="AW8" s="612"/>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I8" s="613">
        <v>0</v>
      </c>
      <c r="CJ8" s="613">
        <v>160</v>
      </c>
      <c r="CL8" s="613">
        <v>344</v>
      </c>
      <c r="DQ8" s="713"/>
      <c r="DR8" s="713"/>
      <c r="DS8" s="713"/>
      <c r="DT8" s="713"/>
      <c r="DU8" s="713"/>
      <c r="DV8" s="713"/>
      <c r="DW8" s="713"/>
      <c r="DX8" s="713"/>
      <c r="DY8" s="713"/>
      <c r="DZ8" s="713"/>
      <c r="EA8" s="713"/>
      <c r="EB8" s="713"/>
      <c r="EC8" s="713"/>
      <c r="ED8" s="713"/>
      <c r="EE8" s="713"/>
      <c r="EF8" s="713"/>
      <c r="EG8" s="713"/>
      <c r="EH8" s="713"/>
      <c r="EI8" s="713"/>
      <c r="EJ8" s="713"/>
      <c r="EK8" s="713"/>
      <c r="EL8" s="713"/>
      <c r="EM8" s="713"/>
      <c r="EN8" s="713"/>
      <c r="EO8" s="713"/>
      <c r="EP8" s="713"/>
      <c r="EQ8" s="713"/>
      <c r="ER8" s="713"/>
      <c r="ES8" s="713"/>
      <c r="ET8" s="713"/>
      <c r="EU8" s="713"/>
      <c r="EV8" s="713"/>
      <c r="EW8" s="713"/>
      <c r="EX8" s="713"/>
      <c r="EY8" s="713"/>
    </row>
    <row r="9" spans="1:155" s="225" customFormat="1" ht="8.65" customHeight="1" x14ac:dyDescent="0.25">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101"/>
      <c r="AB9" s="141"/>
      <c r="AC9" s="131"/>
      <c r="AD9" s="131"/>
      <c r="AE9" s="223"/>
      <c r="AF9" s="223"/>
      <c r="AG9" s="223"/>
      <c r="AH9" s="223"/>
      <c r="AI9" s="223"/>
      <c r="AJ9" s="223"/>
      <c r="AK9" s="223"/>
      <c r="AL9" s="223"/>
      <c r="AM9" s="223"/>
      <c r="AN9" s="223"/>
      <c r="AO9" s="223"/>
      <c r="AP9" s="223"/>
      <c r="AQ9" s="223"/>
      <c r="AR9" s="223"/>
      <c r="AS9" s="1712"/>
      <c r="AT9" s="615" t="s">
        <v>411</v>
      </c>
      <c r="AU9" s="616">
        <f ca="1">+AU8+AV9</f>
        <v>42839</v>
      </c>
      <c r="AV9" s="617">
        <v>42</v>
      </c>
      <c r="AW9" s="618" t="s">
        <v>412</v>
      </c>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I9" s="613">
        <v>85000</v>
      </c>
      <c r="CJ9" s="613">
        <v>160</v>
      </c>
      <c r="CL9" s="613">
        <v>430</v>
      </c>
      <c r="CN9" s="619">
        <f>+CL9-CL8</f>
        <v>86</v>
      </c>
      <c r="DQ9" s="713"/>
      <c r="DR9" s="713"/>
      <c r="DS9" s="713"/>
      <c r="DT9" s="713"/>
      <c r="DU9" s="713"/>
      <c r="DV9" s="713"/>
      <c r="DW9" s="713"/>
      <c r="DX9" s="713"/>
      <c r="DY9" s="713"/>
      <c r="DZ9" s="713"/>
      <c r="EA9" s="713"/>
      <c r="EB9" s="713"/>
      <c r="EC9" s="713"/>
      <c r="ED9" s="713"/>
      <c r="EE9" s="713"/>
      <c r="EF9" s="713"/>
      <c r="EG9" s="713"/>
      <c r="EH9" s="713"/>
      <c r="EI9" s="713"/>
      <c r="EJ9" s="713"/>
      <c r="EK9" s="713"/>
      <c r="EL9" s="713"/>
      <c r="EM9" s="713"/>
      <c r="EN9" s="713"/>
      <c r="EO9" s="713"/>
      <c r="EP9" s="713"/>
      <c r="EQ9" s="713"/>
      <c r="ER9" s="713"/>
      <c r="ES9" s="713"/>
      <c r="ET9" s="713"/>
      <c r="EU9" s="713"/>
      <c r="EV9" s="713"/>
      <c r="EW9" s="713"/>
      <c r="EX9" s="713"/>
      <c r="EY9" s="713"/>
    </row>
    <row r="10" spans="1:155" s="102" customFormat="1" ht="18.75" customHeight="1" x14ac:dyDescent="0.25">
      <c r="A10" s="1718" t="str">
        <f>IF(A11="Purchase Price", "Purchase Costs","Refinance Costs")</f>
        <v>Purchase Costs</v>
      </c>
      <c r="B10" s="1718"/>
      <c r="C10" s="1718"/>
      <c r="D10" s="1718"/>
      <c r="E10" s="1718"/>
      <c r="F10" s="1718"/>
      <c r="G10" s="1718"/>
      <c r="H10" s="1718"/>
      <c r="I10" s="1718"/>
      <c r="J10" s="51"/>
      <c r="K10" s="1718" t="s">
        <v>671</v>
      </c>
      <c r="L10" s="1718"/>
      <c r="M10" s="1718"/>
      <c r="N10" s="1718"/>
      <c r="O10" s="1718"/>
      <c r="P10" s="1718"/>
      <c r="Q10" s="1718"/>
      <c r="R10" s="1718"/>
      <c r="S10" s="64"/>
      <c r="T10" s="1750" t="s">
        <v>229</v>
      </c>
      <c r="U10" s="1750"/>
      <c r="V10" s="1750"/>
      <c r="W10" s="1750"/>
      <c r="X10" s="1750"/>
      <c r="Y10" s="1750"/>
      <c r="Z10" s="1750"/>
      <c r="AA10" s="64"/>
      <c r="AB10" s="143"/>
      <c r="AC10" s="131"/>
      <c r="AD10" s="131"/>
      <c r="AE10" s="223"/>
      <c r="AF10" s="223"/>
      <c r="AG10" s="223"/>
      <c r="AH10" s="223"/>
      <c r="AI10" s="223"/>
      <c r="AJ10" s="223"/>
      <c r="AK10" s="223"/>
      <c r="AL10" s="223"/>
      <c r="AM10" s="223"/>
      <c r="AN10" s="223"/>
      <c r="AO10" s="223"/>
      <c r="AP10" s="223"/>
      <c r="AQ10" s="223"/>
      <c r="AR10" s="141"/>
      <c r="AS10" s="141"/>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I10" s="422">
        <v>120000</v>
      </c>
      <c r="CJ10" s="422">
        <v>170</v>
      </c>
      <c r="CL10" s="422">
        <v>627</v>
      </c>
      <c r="CN10" s="423">
        <f>+CL10-CL9</f>
        <v>197</v>
      </c>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row>
    <row r="11" spans="1:155" s="102" customFormat="1" ht="18.600000000000001" customHeight="1" x14ac:dyDescent="0.25">
      <c r="A11" s="1740" t="s">
        <v>32</v>
      </c>
      <c r="B11" s="1740"/>
      <c r="C11" s="1740"/>
      <c r="D11" s="1740"/>
      <c r="E11" s="1740"/>
      <c r="F11" s="825" t="s">
        <v>768</v>
      </c>
      <c r="G11" s="1732"/>
      <c r="H11" s="1733"/>
      <c r="I11" s="1734"/>
      <c r="J11" s="51"/>
      <c r="K11" s="1719" t="s">
        <v>225</v>
      </c>
      <c r="L11" s="1719"/>
      <c r="M11" s="1719"/>
      <c r="N11" s="1719"/>
      <c r="O11" s="1720"/>
      <c r="P11" s="1680"/>
      <c r="Q11" s="1681"/>
      <c r="R11" s="1682"/>
      <c r="S11" s="64"/>
      <c r="T11" s="1792" t="str">
        <f>IF(P11&gt;0,CONCATENATE(CB11," Deposit Paid"),"")</f>
        <v/>
      </c>
      <c r="U11" s="1793"/>
      <c r="V11" s="1793"/>
      <c r="W11" s="1793"/>
      <c r="X11" s="1793"/>
      <c r="Y11" s="1793"/>
      <c r="Z11" s="1794"/>
      <c r="AA11" s="64"/>
      <c r="AB11" s="143"/>
      <c r="AC11" s="1780" t="s">
        <v>919</v>
      </c>
      <c r="AD11" s="1781"/>
      <c r="AE11" s="223"/>
      <c r="AF11" s="223"/>
      <c r="AG11" s="223"/>
      <c r="AH11" s="223"/>
      <c r="AI11" s="223"/>
      <c r="AJ11" s="223"/>
      <c r="AK11" s="223"/>
      <c r="AL11" s="223"/>
      <c r="AM11" s="223"/>
      <c r="AN11" s="223"/>
      <c r="AO11" s="223"/>
      <c r="AP11" s="223"/>
      <c r="AQ11" s="223"/>
      <c r="AR11" s="141"/>
      <c r="AS11" s="141"/>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4" t="e">
        <f>TEXT(+P11/G11,"#%")</f>
        <v>#DIV/0!</v>
      </c>
      <c r="CC11" s="144" t="e">
        <f>TEXT(Purchase/G11,"#%")</f>
        <v>#DIV/0!</v>
      </c>
      <c r="CD11" s="142"/>
      <c r="CE11" s="142"/>
      <c r="CF11" s="142"/>
      <c r="CI11" s="422">
        <v>200000</v>
      </c>
      <c r="CJ11" s="422">
        <v>190</v>
      </c>
      <c r="CL11" s="422">
        <v>873</v>
      </c>
      <c r="CN11" s="423">
        <f>+CL11-CL10</f>
        <v>246</v>
      </c>
      <c r="DQ11" s="714"/>
      <c r="DR11" s="714"/>
      <c r="DS11" s="714"/>
      <c r="DT11" s="714"/>
      <c r="DU11" s="714"/>
      <c r="DV11" s="714"/>
      <c r="DW11" s="714"/>
      <c r="DX11" s="714"/>
      <c r="DY11" s="714"/>
      <c r="DZ11" s="714"/>
      <c r="EA11" s="714"/>
      <c r="EB11" s="714"/>
      <c r="EC11" s="714"/>
      <c r="ED11" s="714"/>
      <c r="EE11" s="714"/>
      <c r="EF11" s="714"/>
      <c r="EG11" s="714"/>
      <c r="EH11" s="714"/>
      <c r="EI11" s="714"/>
      <c r="EJ11" s="714"/>
      <c r="EK11" s="714"/>
      <c r="EL11" s="714"/>
      <c r="EM11" s="714"/>
      <c r="EN11" s="714"/>
      <c r="EO11" s="714"/>
      <c r="EP11" s="714"/>
      <c r="EQ11" s="714"/>
      <c r="ER11" s="714"/>
      <c r="ES11" s="714"/>
      <c r="ET11" s="714"/>
      <c r="EU11" s="714"/>
      <c r="EV11" s="714"/>
      <c r="EW11" s="714"/>
      <c r="EX11" s="714"/>
      <c r="EY11" s="714"/>
    </row>
    <row r="12" spans="1:155" s="1" customFormat="1" ht="18.600000000000001" customHeight="1" x14ac:dyDescent="0.25">
      <c r="A12" s="1719" t="s">
        <v>607</v>
      </c>
      <c r="B12" s="1719"/>
      <c r="C12" s="1719"/>
      <c r="D12" s="1720"/>
      <c r="E12" s="1735" t="s">
        <v>34</v>
      </c>
      <c r="F12" s="1736"/>
      <c r="G12" s="1737" t="s">
        <v>390</v>
      </c>
      <c r="H12" s="1738"/>
      <c r="I12" s="1739"/>
      <c r="J12" s="51"/>
      <c r="K12" s="1719" t="s">
        <v>226</v>
      </c>
      <c r="L12" s="1719"/>
      <c r="M12" s="1719"/>
      <c r="N12" s="1719"/>
      <c r="O12" s="1720"/>
      <c r="P12" s="1680"/>
      <c r="Q12" s="1681"/>
      <c r="R12" s="1682"/>
      <c r="S12" s="64"/>
      <c r="T12" s="1743"/>
      <c r="U12" s="1744"/>
      <c r="V12" s="1744"/>
      <c r="W12" s="1744"/>
      <c r="X12" s="1744"/>
      <c r="Y12" s="1744"/>
      <c r="Z12" s="1745"/>
      <c r="AA12" s="64"/>
      <c r="AB12" s="143"/>
      <c r="AC12" s="1484" t="s">
        <v>644</v>
      </c>
      <c r="AD12" s="1485" t="s">
        <v>781</v>
      </c>
      <c r="AE12" s="223"/>
      <c r="AF12" s="223"/>
      <c r="AG12" s="223"/>
      <c r="AH12" s="223"/>
      <c r="AI12" s="223"/>
      <c r="AJ12" s="223"/>
      <c r="AK12" s="223"/>
      <c r="AL12" s="223"/>
      <c r="AM12" s="223"/>
      <c r="AN12" s="223"/>
      <c r="AO12" s="223"/>
      <c r="AP12" s="223"/>
      <c r="AQ12" s="223"/>
      <c r="AR12" s="674"/>
      <c r="AS12" s="135"/>
      <c r="AT12" s="135"/>
      <c r="AU12" s="135"/>
      <c r="AV12" s="135"/>
      <c r="AW12" s="135"/>
      <c r="AX12" s="135"/>
      <c r="AY12" s="135"/>
      <c r="AZ12" s="135"/>
      <c r="BA12" s="135"/>
      <c r="BB12" s="135"/>
      <c r="BC12" s="135"/>
      <c r="BD12" s="135"/>
      <c r="BE12" s="135"/>
      <c r="BF12" s="135"/>
      <c r="BG12" s="135"/>
      <c r="BH12" s="135"/>
      <c r="BI12" s="135"/>
      <c r="BJ12" s="135"/>
      <c r="BK12" s="131"/>
      <c r="BL12" s="131"/>
      <c r="BM12" s="131"/>
      <c r="BN12" s="131"/>
      <c r="BO12" s="131"/>
      <c r="BP12" s="131"/>
      <c r="BQ12" s="131"/>
      <c r="BR12" s="142"/>
      <c r="BS12" s="142"/>
      <c r="BT12" s="131"/>
      <c r="BU12" s="131"/>
      <c r="BV12" s="131"/>
      <c r="BW12" s="131"/>
      <c r="BX12" s="131"/>
      <c r="BY12" s="131"/>
      <c r="BZ12" s="131"/>
      <c r="CA12" s="131"/>
      <c r="CB12" s="198" t="e">
        <f>TEXT(+X25/G11,"#.0%")</f>
        <v>#VALUE!</v>
      </c>
      <c r="CC12" s="198" t="e">
        <f>TEXT(+PurchaseLoanAmount/G11,"#.0%")</f>
        <v>#VALUE!</v>
      </c>
      <c r="CD12" s="131"/>
      <c r="CE12" s="131"/>
      <c r="CF12" s="131"/>
      <c r="CI12" s="422">
        <v>300000</v>
      </c>
      <c r="CJ12" s="422">
        <v>210</v>
      </c>
      <c r="CL12" s="422">
        <v>1119</v>
      </c>
      <c r="CN12" s="423">
        <f>+CL12-CL11</f>
        <v>246</v>
      </c>
      <c r="DQ12" s="354"/>
      <c r="DR12" s="354"/>
      <c r="DS12" s="354"/>
      <c r="DT12" s="354"/>
      <c r="DU12" s="354"/>
      <c r="DV12" s="354"/>
      <c r="DW12" s="354"/>
      <c r="DX12" s="354"/>
      <c r="DY12" s="354"/>
      <c r="DZ12" s="354"/>
      <c r="EA12" s="354"/>
      <c r="EB12" s="354"/>
      <c r="EC12" s="354"/>
      <c r="ED12" s="354"/>
      <c r="EE12" s="354"/>
      <c r="EF12" s="354"/>
      <c r="EG12" s="354"/>
      <c r="EH12" s="354"/>
      <c r="EI12" s="354"/>
      <c r="EJ12" s="354"/>
      <c r="EK12" s="354"/>
      <c r="EL12" s="354"/>
      <c r="EM12" s="354"/>
      <c r="EN12" s="354"/>
      <c r="EO12" s="354"/>
      <c r="EP12" s="354"/>
      <c r="EQ12" s="354"/>
      <c r="ER12" s="354"/>
      <c r="ES12" s="354"/>
      <c r="ET12" s="354"/>
      <c r="EU12" s="354"/>
      <c r="EV12" s="354"/>
      <c r="EW12" s="354"/>
      <c r="EX12" s="354"/>
      <c r="EY12" s="354"/>
    </row>
    <row r="13" spans="1:155" s="65" customFormat="1" ht="18.75" customHeight="1" x14ac:dyDescent="0.25">
      <c r="A13" s="1677" t="s">
        <v>202</v>
      </c>
      <c r="B13" s="1677"/>
      <c r="C13" s="1677"/>
      <c r="D13" s="1677"/>
      <c r="E13" s="1677"/>
      <c r="F13" s="1678"/>
      <c r="G13" s="1732"/>
      <c r="H13" s="1733"/>
      <c r="I13" s="1734"/>
      <c r="J13" s="51"/>
      <c r="K13" s="1677" t="s">
        <v>203</v>
      </c>
      <c r="L13" s="1677"/>
      <c r="M13" s="1677"/>
      <c r="N13" s="1677"/>
      <c r="O13" s="1678"/>
      <c r="P13" s="1680"/>
      <c r="Q13" s="1681"/>
      <c r="R13" s="1682"/>
      <c r="S13" s="64"/>
      <c r="T13" s="1743"/>
      <c r="U13" s="1744"/>
      <c r="V13" s="1744"/>
      <c r="W13" s="1744"/>
      <c r="X13" s="1744"/>
      <c r="Y13" s="1744"/>
      <c r="Z13" s="1745"/>
      <c r="AA13" s="64"/>
      <c r="AB13" s="143"/>
      <c r="AC13" s="1502" t="str">
        <f>CONCATENATE((+TEXT(X8,"$#,##0"))," ",Z8)</f>
        <v>$0 pw</v>
      </c>
      <c r="AD13" s="1503" t="e">
        <f>VLOOKUP(Z8,Settings!Y29:AA36,3)*(X8)/+G11</f>
        <v>#DIV/0!</v>
      </c>
      <c r="AE13" s="223"/>
      <c r="AF13" s="223"/>
      <c r="AG13" s="223"/>
      <c r="AH13" s="223"/>
      <c r="AI13" s="223"/>
      <c r="AJ13" s="223"/>
      <c r="AK13" s="223"/>
      <c r="AL13" s="223"/>
      <c r="AM13" s="223"/>
      <c r="AN13" s="223"/>
      <c r="AO13" s="223"/>
      <c r="AP13" s="223"/>
      <c r="AQ13" s="223"/>
      <c r="AR13" s="143"/>
      <c r="AS13" s="389"/>
      <c r="AT13" s="389"/>
      <c r="AU13" s="389"/>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31"/>
      <c r="BR13" s="142"/>
      <c r="BS13" s="142"/>
      <c r="BT13" s="146"/>
      <c r="BU13" s="146"/>
      <c r="BV13" s="146"/>
      <c r="BW13" s="146"/>
      <c r="BX13" s="146"/>
      <c r="BY13" s="146"/>
      <c r="BZ13" s="146"/>
      <c r="CA13" s="146"/>
      <c r="CB13" s="145">
        <f>+G11</f>
        <v>0</v>
      </c>
      <c r="CC13" s="146"/>
      <c r="CD13" s="146"/>
      <c r="CE13" s="146"/>
      <c r="CF13" s="146"/>
      <c r="CI13" s="422">
        <v>400000</v>
      </c>
      <c r="CJ13" s="422">
        <v>230</v>
      </c>
      <c r="CL13" s="422">
        <v>1362</v>
      </c>
      <c r="CN13" s="423">
        <f>+CL13-CL12</f>
        <v>243</v>
      </c>
      <c r="DQ13" s="715"/>
      <c r="DR13" s="715"/>
      <c r="DS13" s="715"/>
      <c r="DT13" s="715"/>
      <c r="DU13" s="715"/>
      <c r="DV13" s="715"/>
      <c r="DW13" s="715"/>
      <c r="DX13" s="715"/>
      <c r="DY13" s="715"/>
      <c r="DZ13" s="715"/>
      <c r="EA13" s="715"/>
      <c r="EB13" s="715"/>
      <c r="EC13" s="715"/>
      <c r="ED13" s="715"/>
      <c r="EE13" s="715"/>
      <c r="EF13" s="715"/>
      <c r="EG13" s="715"/>
      <c r="EH13" s="715"/>
      <c r="EI13" s="715"/>
      <c r="EJ13" s="715"/>
      <c r="EK13" s="715"/>
      <c r="EL13" s="715"/>
      <c r="EM13" s="715"/>
      <c r="EN13" s="715"/>
      <c r="EO13" s="715"/>
      <c r="EP13" s="715"/>
      <c r="EQ13" s="715"/>
      <c r="ER13" s="715"/>
      <c r="ES13" s="715"/>
      <c r="ET13" s="715"/>
      <c r="EU13" s="715"/>
      <c r="EV13" s="715"/>
      <c r="EW13" s="715"/>
      <c r="EX13" s="715"/>
      <c r="EY13" s="715"/>
    </row>
    <row r="14" spans="1:155" s="1" customFormat="1" ht="18.75" customHeight="1" x14ac:dyDescent="0.25">
      <c r="A14" s="1677" t="s">
        <v>204</v>
      </c>
      <c r="B14" s="1677"/>
      <c r="C14" s="1677"/>
      <c r="D14" s="1677"/>
      <c r="E14" s="1677"/>
      <c r="F14" s="1678"/>
      <c r="G14" s="1710"/>
      <c r="H14" s="1710"/>
      <c r="I14" s="1710"/>
      <c r="J14" s="51"/>
      <c r="K14" s="1677" t="s">
        <v>203</v>
      </c>
      <c r="L14" s="1677"/>
      <c r="M14" s="1677"/>
      <c r="N14" s="1677"/>
      <c r="O14" s="1678"/>
      <c r="P14" s="1680"/>
      <c r="Q14" s="1681"/>
      <c r="R14" s="1682"/>
      <c r="S14" s="64"/>
      <c r="T14" s="1743"/>
      <c r="U14" s="1744"/>
      <c r="V14" s="1744"/>
      <c r="W14" s="1744"/>
      <c r="X14" s="1744"/>
      <c r="Y14" s="1744"/>
      <c r="Z14" s="1745"/>
      <c r="AA14" s="391"/>
      <c r="AB14" s="150"/>
      <c r="AC14" s="969" t="str">
        <f t="shared" ref="AC14" si="0">IF(X14&gt;6%,"CARE - Yield may exceed 6% and not be accepted by lenders","")</f>
        <v/>
      </c>
      <c r="AD14" s="223"/>
      <c r="AE14" s="223"/>
      <c r="AF14" s="223"/>
      <c r="AG14" s="223"/>
      <c r="AH14" s="223"/>
      <c r="AI14" s="223"/>
      <c r="AJ14" s="223"/>
      <c r="AK14" s="223"/>
      <c r="AL14" s="223"/>
      <c r="AM14" s="223"/>
      <c r="AN14" s="223"/>
      <c r="AO14" s="223"/>
      <c r="AP14" s="223"/>
      <c r="AQ14" s="223"/>
      <c r="AR14" s="424" t="str">
        <f>IF(G12="FirstHome","First Home Owners must be Live In/Personal","")</f>
        <v/>
      </c>
      <c r="AS14" s="135"/>
      <c r="AT14" s="135"/>
      <c r="AU14" s="135"/>
      <c r="AV14" s="135"/>
      <c r="AW14" s="135"/>
      <c r="AX14" s="135"/>
      <c r="AY14" s="135"/>
      <c r="AZ14" s="135"/>
      <c r="BA14" s="135"/>
      <c r="BB14" s="135"/>
      <c r="BC14" s="135"/>
      <c r="BD14" s="135"/>
      <c r="BE14" s="135"/>
      <c r="BF14" s="135"/>
      <c r="BG14" s="135"/>
      <c r="BH14" s="135"/>
      <c r="BI14" s="135"/>
      <c r="BJ14" s="135"/>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I14" s="422">
        <v>500000</v>
      </c>
      <c r="CJ14" s="422">
        <v>250</v>
      </c>
      <c r="CL14" s="422"/>
      <c r="DQ14" s="354"/>
      <c r="DR14" s="354"/>
      <c r="DS14" s="354"/>
      <c r="DT14" s="354"/>
      <c r="DU14" s="354"/>
      <c r="DV14" s="354"/>
      <c r="DW14" s="354"/>
      <c r="DX14" s="354"/>
      <c r="DY14" s="354"/>
      <c r="DZ14" s="354"/>
      <c r="EA14" s="354"/>
      <c r="EB14" s="354"/>
      <c r="EC14" s="354"/>
      <c r="ED14" s="354"/>
      <c r="EE14" s="354"/>
      <c r="EF14" s="354"/>
      <c r="EG14" s="354"/>
      <c r="EH14" s="354"/>
      <c r="EI14" s="354"/>
      <c r="EJ14" s="354"/>
      <c r="EK14" s="354"/>
      <c r="EL14" s="354"/>
      <c r="EM14" s="354"/>
      <c r="EN14" s="354"/>
      <c r="EO14" s="354"/>
      <c r="EP14" s="354"/>
      <c r="EQ14" s="354"/>
      <c r="ER14" s="354"/>
      <c r="ES14" s="354"/>
      <c r="ET14" s="354"/>
      <c r="EU14" s="354"/>
      <c r="EV14" s="354"/>
      <c r="EW14" s="354"/>
      <c r="EX14" s="354"/>
      <c r="EY14" s="354"/>
    </row>
    <row r="15" spans="1:155" s="65" customFormat="1" ht="18.75" customHeight="1" x14ac:dyDescent="0.25">
      <c r="A15" s="1677" t="s">
        <v>205</v>
      </c>
      <c r="B15" s="1677"/>
      <c r="C15" s="1677"/>
      <c r="D15" s="1677"/>
      <c r="E15" s="1677"/>
      <c r="F15" s="1678"/>
      <c r="G15" s="1710"/>
      <c r="H15" s="1710"/>
      <c r="I15" s="1710"/>
      <c r="J15" s="51"/>
      <c r="K15" s="1677" t="s">
        <v>228</v>
      </c>
      <c r="L15" s="1677"/>
      <c r="M15" s="1677"/>
      <c r="N15" s="1677"/>
      <c r="O15" s="1678"/>
      <c r="P15" s="1680"/>
      <c r="Q15" s="1681"/>
      <c r="R15" s="1682"/>
      <c r="S15" s="64"/>
      <c r="T15" s="1743"/>
      <c r="U15" s="1744"/>
      <c r="V15" s="1744"/>
      <c r="W15" s="1744"/>
      <c r="X15" s="1744"/>
      <c r="Y15" s="1744"/>
      <c r="Z15" s="1745"/>
      <c r="AA15" s="64"/>
      <c r="AB15" s="143"/>
      <c r="AC15" s="969" t="str">
        <f t="shared" ref="AC15:AC20" si="1">IF(X15&gt;6%,"CARE - Yield may exceed 6% and not be accepted by lenders","")</f>
        <v/>
      </c>
      <c r="AD15" s="223"/>
      <c r="AE15" s="223"/>
      <c r="AF15" s="223"/>
      <c r="AG15" s="223"/>
      <c r="AH15" s="223"/>
      <c r="AI15" s="223"/>
      <c r="AJ15" s="223"/>
      <c r="AK15" s="223"/>
      <c r="AL15" s="223"/>
      <c r="AM15" s="223"/>
      <c r="AN15" s="223"/>
      <c r="AO15" s="223"/>
      <c r="AP15" s="223"/>
      <c r="AQ15" s="223"/>
      <c r="AR15" s="149"/>
      <c r="AS15" s="143"/>
      <c r="AT15" s="135"/>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7" t="s">
        <v>609</v>
      </c>
      <c r="BR15" s="148" t="s">
        <v>35</v>
      </c>
      <c r="BS15" s="148" t="s">
        <v>36</v>
      </c>
      <c r="BT15" s="148" t="s">
        <v>37</v>
      </c>
      <c r="BU15" s="146"/>
      <c r="BV15" s="146"/>
      <c r="BW15" s="146"/>
      <c r="BX15" s="146"/>
      <c r="BY15" s="425" t="s">
        <v>31</v>
      </c>
      <c r="BZ15" s="146"/>
      <c r="CA15" s="147" t="s">
        <v>610</v>
      </c>
      <c r="CB15" s="147" t="s">
        <v>611</v>
      </c>
      <c r="CC15" s="147" t="s">
        <v>612</v>
      </c>
      <c r="CD15" s="146"/>
      <c r="CE15" s="146"/>
      <c r="CF15" s="146"/>
      <c r="CI15" s="422">
        <v>600000</v>
      </c>
      <c r="CJ15" s="422">
        <v>270</v>
      </c>
      <c r="CL15" s="422"/>
      <c r="DQ15" s="715"/>
      <c r="DR15" s="715"/>
      <c r="DS15" s="715"/>
      <c r="DT15" s="715"/>
      <c r="DU15" s="715"/>
      <c r="DV15" s="715"/>
      <c r="DW15" s="715"/>
      <c r="DX15" s="715"/>
      <c r="DY15" s="715"/>
      <c r="DZ15" s="715"/>
      <c r="EA15" s="715"/>
      <c r="EB15" s="715"/>
      <c r="EC15" s="715"/>
      <c r="ED15" s="715"/>
      <c r="EE15" s="715"/>
      <c r="EF15" s="715"/>
      <c r="EG15" s="715"/>
      <c r="EH15" s="715"/>
      <c r="EI15" s="715"/>
      <c r="EJ15" s="715"/>
      <c r="EK15" s="715"/>
      <c r="EL15" s="715"/>
      <c r="EM15" s="715"/>
      <c r="EN15" s="715"/>
      <c r="EO15" s="715"/>
      <c r="EP15" s="715"/>
      <c r="EQ15" s="715"/>
      <c r="ER15" s="715"/>
      <c r="ES15" s="715"/>
      <c r="ET15" s="715"/>
      <c r="EU15" s="715"/>
      <c r="EV15" s="715"/>
      <c r="EW15" s="715"/>
      <c r="EX15" s="715"/>
      <c r="EY15" s="715"/>
    </row>
    <row r="16" spans="1:155" s="1" customFormat="1" ht="18.75" customHeight="1" x14ac:dyDescent="0.25">
      <c r="A16" s="1677" t="s">
        <v>206</v>
      </c>
      <c r="B16" s="1677"/>
      <c r="C16" s="1677"/>
      <c r="D16" s="1677"/>
      <c r="E16" s="1677"/>
      <c r="F16" s="1678"/>
      <c r="G16" s="1710"/>
      <c r="H16" s="1710"/>
      <c r="I16" s="1710"/>
      <c r="J16" s="51"/>
      <c r="K16" s="1677" t="s">
        <v>231</v>
      </c>
      <c r="L16" s="1677"/>
      <c r="M16" s="1677"/>
      <c r="N16" s="1677"/>
      <c r="O16" s="1678"/>
      <c r="P16" s="1680"/>
      <c r="Q16" s="1681"/>
      <c r="R16" s="1682"/>
      <c r="T16" s="1743"/>
      <c r="U16" s="1744"/>
      <c r="V16" s="1744"/>
      <c r="W16" s="1744"/>
      <c r="X16" s="1744"/>
      <c r="Y16" s="1744"/>
      <c r="Z16" s="1745"/>
      <c r="AB16" s="131"/>
      <c r="AC16" s="969" t="str">
        <f t="shared" si="1"/>
        <v/>
      </c>
      <c r="AD16" s="223"/>
      <c r="AE16" s="223"/>
      <c r="AF16" s="223"/>
      <c r="AG16" s="223"/>
      <c r="AH16" s="223"/>
      <c r="AI16" s="223"/>
      <c r="AJ16" s="223"/>
      <c r="AK16" s="223"/>
      <c r="AL16" s="223"/>
      <c r="AM16" s="223"/>
      <c r="AN16" s="223"/>
      <c r="AO16" s="223"/>
      <c r="AP16" s="223"/>
      <c r="AQ16" s="223"/>
      <c r="AR16" s="150"/>
      <c r="AS16" s="150"/>
      <c r="AT16" s="146"/>
      <c r="AU16" s="135"/>
      <c r="AV16" s="135"/>
      <c r="AW16" s="135"/>
      <c r="AX16" s="135"/>
      <c r="AY16" s="135"/>
      <c r="AZ16" s="135"/>
      <c r="BA16" s="135"/>
      <c r="BB16" s="135"/>
      <c r="BC16" s="135"/>
      <c r="BD16" s="135"/>
      <c r="BE16" s="135"/>
      <c r="BF16" s="135"/>
      <c r="BG16" s="135"/>
      <c r="BH16" s="135"/>
      <c r="BI16" s="135"/>
      <c r="BJ16" s="135"/>
      <c r="BK16" s="131"/>
      <c r="BL16" s="131"/>
      <c r="BM16" s="131"/>
      <c r="BN16" s="131"/>
      <c r="BO16" s="131"/>
      <c r="BP16" s="131"/>
      <c r="BQ16" s="147" t="s">
        <v>39</v>
      </c>
      <c r="BR16" s="134">
        <f>+Settings!W4</f>
        <v>262</v>
      </c>
      <c r="BS16" s="134">
        <f>+Settings!X4</f>
        <v>135</v>
      </c>
      <c r="BT16" s="134">
        <f t="shared" ref="BT16:BT23" si="2">IF($G$12="Live In",+CB16,IF($G$12="FirstHome",CC16,CA16))</f>
        <v>0</v>
      </c>
      <c r="BU16" s="131"/>
      <c r="BV16" s="131"/>
      <c r="BW16" s="131"/>
      <c r="BX16" s="131"/>
      <c r="BY16" s="426">
        <f>SUM(BR16:BT16)</f>
        <v>397</v>
      </c>
      <c r="BZ16" s="131"/>
      <c r="CA16" s="134">
        <f>IF(AND(CB13&gt;=0,CB13&lt;200000),2*INT((CB13)/100),IF(AND(CB13&gt;=200000,CB13&lt;300000),4000+3.5*INT((CB13-199901)/100),IF(AND(CB13&gt;=300000,CB13&lt;500000),7500+4.15*INT((CB13-299901)/100),IF(AND(CB13&gt;=500000,CB13&lt;750000),15800+5*INT((CB13-499901)/100),IF(AND(CB13&gt;=750000,CB13&lt;1000000),28300+6.5*INT((CB13-749901)/100),IF(AND(CB13&gt;=1000000,CB13&lt;1455000),44550+7*INT((CB13-999901)/100),IF(CB13&gt;=1455000,5.25*INT((CB13)/100),"Check")))))))</f>
        <v>0</v>
      </c>
      <c r="CB16" s="134">
        <f t="shared" ref="CB16:CC20" si="3">+CA16</f>
        <v>0</v>
      </c>
      <c r="CC16" s="134">
        <f t="shared" si="3"/>
        <v>0</v>
      </c>
      <c r="CD16" s="131"/>
      <c r="CE16" s="131"/>
      <c r="CF16" s="131"/>
      <c r="CI16" s="422">
        <v>700000</v>
      </c>
      <c r="CJ16" s="422">
        <v>290</v>
      </c>
      <c r="CL16" s="422"/>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row>
    <row r="17" spans="1:155" s="1" customFormat="1" ht="18.75" customHeight="1" x14ac:dyDescent="0.25">
      <c r="A17" s="1677" t="s">
        <v>613</v>
      </c>
      <c r="B17" s="1677"/>
      <c r="C17" s="1677"/>
      <c r="D17" s="1677"/>
      <c r="E17" s="1677"/>
      <c r="F17" s="1678"/>
      <c r="G17" s="1721" t="str">
        <f>IF(G11="","",IF(A11="Estimated Value","",LOOKUP(E12,BQ16:BT23)))</f>
        <v/>
      </c>
      <c r="H17" s="1721"/>
      <c r="I17" s="1721"/>
      <c r="J17" s="51"/>
      <c r="K17" s="1677" t="s">
        <v>230</v>
      </c>
      <c r="L17" s="1677"/>
      <c r="M17" s="1677"/>
      <c r="N17" s="1677"/>
      <c r="O17" s="1678"/>
      <c r="P17" s="1680"/>
      <c r="Q17" s="1681"/>
      <c r="R17" s="1682"/>
      <c r="S17" s="53"/>
      <c r="T17" s="1743"/>
      <c r="U17" s="1744"/>
      <c r="V17" s="1744"/>
      <c r="W17" s="1744"/>
      <c r="X17" s="1744"/>
      <c r="Y17" s="1744"/>
      <c r="Z17" s="1745"/>
      <c r="AB17" s="131"/>
      <c r="AC17" s="969" t="str">
        <f t="shared" si="1"/>
        <v/>
      </c>
      <c r="AD17" s="223"/>
      <c r="AE17" s="223"/>
      <c r="AF17" s="223"/>
      <c r="AG17" s="223"/>
      <c r="AH17" s="223"/>
      <c r="AI17" s="223"/>
      <c r="AJ17" s="223"/>
      <c r="AK17" s="223"/>
      <c r="AL17" s="223"/>
      <c r="AM17" s="223"/>
      <c r="AN17" s="223"/>
      <c r="AO17" s="223"/>
      <c r="AP17" s="223"/>
      <c r="AQ17" s="223"/>
      <c r="AR17" s="149"/>
      <c r="AS17" s="143"/>
      <c r="AT17" s="146"/>
      <c r="AU17" s="135"/>
      <c r="AV17" s="135"/>
      <c r="AW17" s="135"/>
      <c r="AX17" s="135"/>
      <c r="AY17" s="135"/>
      <c r="AZ17" s="135"/>
      <c r="BA17" s="135"/>
      <c r="BB17" s="135"/>
      <c r="BC17" s="135"/>
      <c r="BD17" s="135"/>
      <c r="BE17" s="135"/>
      <c r="BF17" s="135"/>
      <c r="BG17" s="135"/>
      <c r="BH17" s="135"/>
      <c r="BI17" s="135"/>
      <c r="BJ17" s="135"/>
      <c r="BK17" s="131"/>
      <c r="BL17" s="131"/>
      <c r="BM17" s="131"/>
      <c r="BN17" s="131"/>
      <c r="BO17" s="131"/>
      <c r="BP17" s="131"/>
      <c r="BQ17" s="147" t="s">
        <v>34</v>
      </c>
      <c r="BR17" s="134">
        <f>+Settings!W5</f>
        <v>272</v>
      </c>
      <c r="BS17" s="134">
        <f>+Settings!X5</f>
        <v>136</v>
      </c>
      <c r="BT17" s="134" t="str">
        <f t="shared" si="2"/>
        <v>Check</v>
      </c>
      <c r="BU17" s="131"/>
      <c r="BV17" s="131"/>
      <c r="BW17" s="131"/>
      <c r="BX17" s="131"/>
      <c r="BY17" s="426">
        <f>SUM(BR17:BT17)</f>
        <v>408</v>
      </c>
      <c r="BZ17" s="131"/>
      <c r="CA17" s="134" t="str">
        <f>IF(AND(CB13&gt;=80000,CB13&lt;300000),1290+3.5*INT((CB13-79901)/100),IF(AND(CB13&gt;=300000,CB13&lt;1000000),8990+4.5*INT((CB13-299901)/100),IF(CB13&gt;=1000000,40490+5.5*INT((CB13-999901)/100),"Check")))</f>
        <v>Check</v>
      </c>
      <c r="CB17" s="134" t="str">
        <f t="shared" si="3"/>
        <v>Check</v>
      </c>
      <c r="CC17" s="134" t="str">
        <f t="shared" si="3"/>
        <v>Check</v>
      </c>
      <c r="CD17" s="131"/>
      <c r="CE17" s="131"/>
      <c r="CF17" s="131"/>
      <c r="CI17" s="422">
        <v>800000</v>
      </c>
      <c r="CJ17" s="422">
        <v>310</v>
      </c>
      <c r="CL17" s="422"/>
      <c r="DQ17" s="354"/>
      <c r="DR17" s="354"/>
      <c r="DS17" s="354"/>
      <c r="DT17" s="354"/>
      <c r="DU17" s="354"/>
      <c r="DV17" s="354"/>
      <c r="DW17" s="354"/>
      <c r="DX17" s="354"/>
      <c r="DY17" s="354"/>
      <c r="DZ17" s="354"/>
      <c r="EA17" s="354"/>
      <c r="EB17" s="354"/>
      <c r="EC17" s="354"/>
      <c r="ED17" s="354"/>
      <c r="EE17" s="354"/>
      <c r="EF17" s="354"/>
      <c r="EG17" s="354"/>
      <c r="EH17" s="354"/>
      <c r="EI17" s="354"/>
      <c r="EJ17" s="354"/>
      <c r="EK17" s="354"/>
      <c r="EL17" s="354"/>
      <c r="EM17" s="354"/>
      <c r="EN17" s="354"/>
      <c r="EO17" s="354"/>
      <c r="EP17" s="354"/>
      <c r="EQ17" s="354"/>
      <c r="ER17" s="354"/>
      <c r="ES17" s="354"/>
      <c r="ET17" s="354"/>
      <c r="EU17" s="354"/>
      <c r="EV17" s="354"/>
      <c r="EW17" s="354"/>
      <c r="EX17" s="354"/>
      <c r="EY17" s="354"/>
    </row>
    <row r="18" spans="1:155" s="1" customFormat="1" ht="18.75" customHeight="1" x14ac:dyDescent="0.25">
      <c r="A18" s="1677" t="s">
        <v>614</v>
      </c>
      <c r="B18" s="1677"/>
      <c r="C18" s="1677"/>
      <c r="D18" s="1677"/>
      <c r="E18" s="1677"/>
      <c r="F18" s="1678"/>
      <c r="G18" s="1721" t="str">
        <f>IF(Purchase="","",IF(A11="Estimated Value","",LOOKUP(E12,BQ16:BR23)))</f>
        <v/>
      </c>
      <c r="H18" s="1721"/>
      <c r="I18" s="1721"/>
      <c r="J18" s="51"/>
      <c r="K18" s="1677" t="s">
        <v>227</v>
      </c>
      <c r="L18" s="1677"/>
      <c r="M18" s="1677"/>
      <c r="N18" s="1677"/>
      <c r="O18" s="1678"/>
      <c r="P18" s="1680"/>
      <c r="Q18" s="1681"/>
      <c r="R18" s="1682"/>
      <c r="T18" s="1658"/>
      <c r="U18" s="1659"/>
      <c r="V18" s="1659"/>
      <c r="W18" s="1659"/>
      <c r="X18" s="1746"/>
      <c r="Y18" s="1746"/>
      <c r="Z18" s="1747"/>
      <c r="AA18" s="63"/>
      <c r="AB18" s="152"/>
      <c r="AC18" s="969" t="str">
        <f t="shared" si="1"/>
        <v/>
      </c>
      <c r="AD18" s="223"/>
      <c r="AE18" s="223"/>
      <c r="AF18" s="223"/>
      <c r="AG18" s="223"/>
      <c r="AH18" s="223"/>
      <c r="AI18" s="223"/>
      <c r="AJ18" s="223"/>
      <c r="AK18" s="223"/>
      <c r="AL18" s="223"/>
      <c r="AM18" s="223"/>
      <c r="AN18" s="223"/>
      <c r="AO18" s="223"/>
      <c r="AP18" s="223"/>
      <c r="AQ18" s="223"/>
      <c r="AR18" s="151"/>
      <c r="AS18" s="131"/>
      <c r="AT18" s="135"/>
      <c r="AU18" s="135"/>
      <c r="AV18" s="135"/>
      <c r="AW18" s="135"/>
      <c r="AX18" s="135"/>
      <c r="AY18" s="135"/>
      <c r="AZ18" s="135"/>
      <c r="BA18" s="135"/>
      <c r="BB18" s="135"/>
      <c r="BC18" s="135"/>
      <c r="BD18" s="135"/>
      <c r="BE18" s="135"/>
      <c r="BF18" s="135"/>
      <c r="BG18" s="135"/>
      <c r="BH18" s="135"/>
      <c r="BI18" s="135"/>
      <c r="BJ18" s="135"/>
      <c r="BK18" s="131"/>
      <c r="BL18" s="131"/>
      <c r="BM18" s="131"/>
      <c r="BN18" s="131"/>
      <c r="BO18" s="131"/>
      <c r="BP18" s="131"/>
      <c r="BQ18" s="147" t="s">
        <v>41</v>
      </c>
      <c r="BR18" s="134">
        <f>IF(CB13&lt;180000,162.9,+INT((INT(CB13-180000)/10000*30.8)+162.9))</f>
        <v>162.9</v>
      </c>
      <c r="BS18" s="134">
        <f>+Settings!X6</f>
        <v>175</v>
      </c>
      <c r="BT18" s="134" t="str">
        <f t="shared" si="2"/>
        <v>Check</v>
      </c>
      <c r="BU18" s="131"/>
      <c r="BV18" s="131"/>
      <c r="BW18" s="131"/>
      <c r="BX18" s="131"/>
      <c r="BY18" s="426">
        <f t="shared" ref="BY18:BY23" si="4">SUM(BR18:BT18)</f>
        <v>337.9</v>
      </c>
      <c r="BZ18" s="131"/>
      <c r="CA18" s="134" t="str">
        <f>IF(AND(CB13&gt;=75000,CB13&lt;540000),1050+3.5*INT((CB13-74901)/100),IF(AND(CB13&gt;=540000,CB13&lt;1000000),17325+4.5*INT((CB13-539901)/100),IF(CB13&gt;=1000000,38025+5.75*INT((CB13-999901)/100),"Check")))</f>
        <v>Check</v>
      </c>
      <c r="CB18" s="427">
        <f>IF(AND(CB13&gt;=0,CB13&lt;350000),1*INT((CB13)/100),IF(AND(CB13&gt;=350000,CB13&lt;540000),3500+3.5*INT((CB13-349901)/100),IF(AND(CB13&gt;=540000,CB13&lt;1000000),10150+4.5*INT((CB13-539901)/100),IF(CB13&gt;=1000000,30850+5.75*INT((CB13-999901)/100),"Check"))))</f>
        <v>0</v>
      </c>
      <c r="CC18" s="134">
        <f t="shared" si="3"/>
        <v>0</v>
      </c>
      <c r="CD18" s="131"/>
      <c r="CE18" s="131"/>
      <c r="CF18" s="131"/>
      <c r="CI18" s="422">
        <v>900000</v>
      </c>
      <c r="CJ18" s="422">
        <v>330</v>
      </c>
      <c r="CL18" s="422"/>
      <c r="DQ18" s="354"/>
      <c r="DR18" s="354"/>
      <c r="DS18" s="354"/>
      <c r="DT18" s="354"/>
      <c r="DU18" s="354"/>
      <c r="DV18" s="354"/>
      <c r="DW18" s="354"/>
      <c r="DX18" s="354"/>
      <c r="DY18" s="354"/>
      <c r="DZ18" s="354"/>
      <c r="EA18" s="354"/>
      <c r="EB18" s="354"/>
      <c r="EC18" s="354"/>
      <c r="ED18" s="354"/>
      <c r="EE18" s="354"/>
      <c r="EF18" s="354"/>
      <c r="EG18" s="354"/>
      <c r="EH18" s="354"/>
      <c r="EI18" s="354"/>
      <c r="EJ18" s="354"/>
      <c r="EK18" s="354"/>
      <c r="EL18" s="354"/>
      <c r="EM18" s="354"/>
      <c r="EN18" s="354"/>
      <c r="EO18" s="354"/>
      <c r="EP18" s="354"/>
      <c r="EQ18" s="354"/>
      <c r="ER18" s="354"/>
      <c r="ES18" s="354"/>
      <c r="ET18" s="354"/>
      <c r="EU18" s="354"/>
      <c r="EV18" s="354"/>
      <c r="EW18" s="354"/>
      <c r="EX18" s="354"/>
      <c r="EY18" s="354"/>
    </row>
    <row r="19" spans="1:155" s="1" customFormat="1" ht="18.75" customHeight="1" x14ac:dyDescent="0.25">
      <c r="A19" s="1677" t="s">
        <v>615</v>
      </c>
      <c r="B19" s="1677"/>
      <c r="C19" s="1677"/>
      <c r="D19" s="1677"/>
      <c r="E19" s="1677"/>
      <c r="F19" s="1678"/>
      <c r="G19" s="1721" t="str">
        <f>IF(Purchase="","",IF(A11="Estimated Value",LOOKUP(E12,BQ16:BS23),LOOKUP(E12,BQ16:BS23)))</f>
        <v/>
      </c>
      <c r="H19" s="1721"/>
      <c r="I19" s="1721"/>
      <c r="J19" s="51"/>
      <c r="K19" s="1677" t="s">
        <v>19</v>
      </c>
      <c r="L19" s="1677"/>
      <c r="M19" s="1677"/>
      <c r="N19" s="1677"/>
      <c r="O19" s="1678"/>
      <c r="P19" s="1680"/>
      <c r="Q19" s="1681"/>
      <c r="R19" s="1682"/>
      <c r="T19" s="1658"/>
      <c r="U19" s="1659"/>
      <c r="V19" s="1659"/>
      <c r="W19" s="1659"/>
      <c r="X19" s="1748"/>
      <c r="Y19" s="1748"/>
      <c r="Z19" s="1749"/>
      <c r="AB19" s="131"/>
      <c r="AC19" s="969" t="str">
        <f t="shared" si="1"/>
        <v/>
      </c>
      <c r="AD19" s="223"/>
      <c r="AE19" s="223"/>
      <c r="AF19" s="223"/>
      <c r="AG19" s="223"/>
      <c r="AH19" s="223"/>
      <c r="AI19" s="223"/>
      <c r="AJ19" s="223"/>
      <c r="AK19" s="223"/>
      <c r="AL19" s="223"/>
      <c r="AM19" s="223"/>
      <c r="AN19" s="223"/>
      <c r="AO19" s="223"/>
      <c r="AP19" s="223"/>
      <c r="AQ19" s="223"/>
      <c r="AR19" s="135"/>
      <c r="AS19" s="135"/>
      <c r="AT19" s="135"/>
      <c r="AU19" s="135"/>
      <c r="AV19" s="135"/>
      <c r="AW19" s="135"/>
      <c r="AX19" s="135"/>
      <c r="AY19" s="135"/>
      <c r="AZ19" s="135"/>
      <c r="BA19" s="135"/>
      <c r="BB19" s="135"/>
      <c r="BC19" s="135"/>
      <c r="BD19" s="135"/>
      <c r="BE19" s="135"/>
      <c r="BF19" s="135"/>
      <c r="BG19" s="135"/>
      <c r="BH19" s="135"/>
      <c r="BI19" s="135"/>
      <c r="BJ19" s="135"/>
      <c r="BK19" s="131"/>
      <c r="BL19" s="131"/>
      <c r="BM19" s="131"/>
      <c r="BN19" s="131"/>
      <c r="BO19" s="131"/>
      <c r="BP19" s="131"/>
      <c r="BQ19" s="147" t="s">
        <v>43</v>
      </c>
      <c r="BR19" s="134">
        <f>252+INT((+CB13-50000)/10000)*73.5</f>
        <v>-115.5</v>
      </c>
      <c r="BS19" s="134">
        <f>+Settings!X7</f>
        <v>157</v>
      </c>
      <c r="BT19" s="134" t="str">
        <f t="shared" si="2"/>
        <v>Check</v>
      </c>
      <c r="BU19" s="131"/>
      <c r="BV19" s="131"/>
      <c r="BW19" s="131"/>
      <c r="BX19" s="131"/>
      <c r="BY19" s="426">
        <f t="shared" si="4"/>
        <v>41.5</v>
      </c>
      <c r="BZ19" s="131"/>
      <c r="CA19" s="134" t="str">
        <f>IF(AND(CB13&gt;=100000,CB13&lt;200000),2830+4*INT((CB13-99901)/100),IF(AND(CB13&gt;=200000,CB13&lt;250000),6830+4.5*INT((CB13-199901)/100),IF(AND(CB13&gt;=250000,CB13&lt;300000),8995+4.75*INT((CB13-249901)/100),IF(AND(CB13&gt;=300000,CB13&lt;500000),11330+5*INT((CB13-299901)/100),IF(CB13&gt;=500000,21330+5.5*INT((CB13-499901)/100),"Check")))))</f>
        <v>Check</v>
      </c>
      <c r="CB19" s="134" t="str">
        <f t="shared" si="3"/>
        <v>Check</v>
      </c>
      <c r="CC19" s="134" t="str">
        <f t="shared" si="3"/>
        <v>Check</v>
      </c>
      <c r="CD19" s="131"/>
      <c r="CE19" s="131"/>
      <c r="CF19" s="131"/>
      <c r="CI19" s="422">
        <v>1000000</v>
      </c>
      <c r="CJ19" s="422">
        <v>350</v>
      </c>
      <c r="CL19" s="422"/>
      <c r="DQ19" s="354"/>
      <c r="DR19" s="354"/>
      <c r="DS19" s="354"/>
      <c r="DT19" s="354"/>
      <c r="DU19" s="354"/>
      <c r="DV19" s="354"/>
      <c r="DW19" s="354"/>
      <c r="DX19" s="354"/>
      <c r="DY19" s="354"/>
      <c r="DZ19" s="354"/>
      <c r="EA19" s="354"/>
      <c r="EB19" s="354"/>
      <c r="EC19" s="354"/>
      <c r="ED19" s="354"/>
      <c r="EE19" s="354"/>
      <c r="EF19" s="354"/>
      <c r="EG19" s="354"/>
      <c r="EH19" s="354"/>
      <c r="EI19" s="354"/>
      <c r="EJ19" s="354"/>
      <c r="EK19" s="354"/>
      <c r="EL19" s="354"/>
      <c r="EM19" s="354"/>
      <c r="EN19" s="354"/>
      <c r="EO19" s="354"/>
      <c r="EP19" s="354"/>
      <c r="EQ19" s="354"/>
      <c r="ER19" s="354"/>
      <c r="ES19" s="354"/>
      <c r="ET19" s="354"/>
      <c r="EU19" s="354"/>
      <c r="EV19" s="354"/>
      <c r="EW19" s="354"/>
      <c r="EX19" s="354"/>
      <c r="EY19" s="354"/>
    </row>
    <row r="20" spans="1:155" s="1" customFormat="1" ht="18.75" customHeight="1" x14ac:dyDescent="0.25">
      <c r="A20" s="1677" t="s">
        <v>770</v>
      </c>
      <c r="B20" s="1677"/>
      <c r="C20" s="1677"/>
      <c r="D20" s="1677"/>
      <c r="E20" s="1677"/>
      <c r="F20" s="1678"/>
      <c r="G20" s="1710">
        <f>IF(A11="Estimated Value","",LOOKUP(E12,Settings!V29:W37))</f>
        <v>1650</v>
      </c>
      <c r="H20" s="1710"/>
      <c r="I20" s="1710"/>
      <c r="J20" s="51"/>
      <c r="K20" s="1677" t="s">
        <v>583</v>
      </c>
      <c r="L20" s="1677"/>
      <c r="M20" s="1677"/>
      <c r="N20" s="1677"/>
      <c r="O20" s="1678"/>
      <c r="P20" s="1680"/>
      <c r="Q20" s="1681"/>
      <c r="R20" s="1682"/>
      <c r="T20" s="1658"/>
      <c r="U20" s="1659"/>
      <c r="V20" s="1659"/>
      <c r="W20" s="1659"/>
      <c r="X20" s="1659"/>
      <c r="Y20" s="1659"/>
      <c r="Z20" s="1660"/>
      <c r="AB20" s="131"/>
      <c r="AC20" s="969" t="str">
        <f t="shared" si="1"/>
        <v/>
      </c>
      <c r="AD20" s="223"/>
      <c r="AE20" s="223"/>
      <c r="AF20" s="223"/>
      <c r="AG20" s="223"/>
      <c r="AH20" s="223"/>
      <c r="AI20" s="223"/>
      <c r="AJ20" s="223"/>
      <c r="AK20" s="223"/>
      <c r="AL20" s="223"/>
      <c r="AM20" s="223"/>
      <c r="AN20" s="223"/>
      <c r="AO20" s="223"/>
      <c r="AP20" s="223"/>
      <c r="AQ20" s="223"/>
      <c r="AR20" s="135"/>
      <c r="AS20" s="135"/>
      <c r="AT20" s="135"/>
      <c r="AU20" s="135"/>
      <c r="AV20" s="135"/>
      <c r="AW20" s="135"/>
      <c r="AX20" s="135"/>
      <c r="AY20" s="135"/>
      <c r="AZ20" s="135"/>
      <c r="BA20" s="135"/>
      <c r="BB20" s="135"/>
      <c r="BC20" s="135"/>
      <c r="BD20" s="135"/>
      <c r="BE20" s="135"/>
      <c r="BF20" s="135"/>
      <c r="BG20" s="135"/>
      <c r="BH20" s="135"/>
      <c r="BI20" s="135"/>
      <c r="BJ20" s="135"/>
      <c r="BK20" s="131"/>
      <c r="BL20" s="131"/>
      <c r="BM20" s="131"/>
      <c r="BN20" s="131"/>
      <c r="BO20" s="131"/>
      <c r="BP20" s="131"/>
      <c r="BQ20" s="147" t="s">
        <v>44</v>
      </c>
      <c r="BR20" s="134">
        <f>+Settings!W8</f>
        <v>200</v>
      </c>
      <c r="BS20" s="134">
        <f>+Settings!X8</f>
        <v>131</v>
      </c>
      <c r="BT20" s="134" t="str">
        <f t="shared" si="2"/>
        <v>Check</v>
      </c>
      <c r="BU20" s="131"/>
      <c r="BV20" s="131"/>
      <c r="BW20" s="131"/>
      <c r="BX20" s="131"/>
      <c r="BY20" s="426">
        <f t="shared" si="4"/>
        <v>331</v>
      </c>
      <c r="BZ20" s="131"/>
      <c r="CA20" s="134" t="str">
        <f>IF(AND(CB13&gt;=75000,CB13&lt;200000),1559+3.5*INT((CB13-79901)/100),IF(AND(CB13&gt;=200000,CB13&lt;375000),5934+4*INT((CB13-199901)/100),IF(AND(CB13&gt;=375000,CB13&lt;725000),12934+4.25*INT((CB13-374901)/100),IF(CB13&gt;=725000,27809+4.5*INT((CB13-724901)/100),"Check"))))</f>
        <v>Check</v>
      </c>
      <c r="CB20" s="134" t="str">
        <f t="shared" si="3"/>
        <v>Check</v>
      </c>
      <c r="CC20" s="134" t="str">
        <f>+CB20</f>
        <v>Check</v>
      </c>
      <c r="CD20" s="131"/>
      <c r="CE20" s="131"/>
      <c r="CF20" s="131"/>
      <c r="CI20" s="422">
        <v>1100000</v>
      </c>
      <c r="CJ20" s="422">
        <v>370</v>
      </c>
      <c r="CL20" s="422"/>
      <c r="DQ20" s="354"/>
      <c r="DR20" s="354"/>
      <c r="DS20" s="354"/>
      <c r="DT20" s="354"/>
      <c r="DU20" s="354"/>
      <c r="DV20" s="354"/>
      <c r="DW20" s="354"/>
      <c r="DX20" s="354"/>
      <c r="DY20" s="354"/>
      <c r="DZ20" s="354"/>
      <c r="EA20" s="354"/>
      <c r="EB20" s="354"/>
      <c r="EC20" s="354"/>
      <c r="ED20" s="354"/>
      <c r="EE20" s="354"/>
      <c r="EF20" s="354"/>
      <c r="EG20" s="354"/>
      <c r="EH20" s="354"/>
      <c r="EI20" s="354"/>
      <c r="EJ20" s="354"/>
      <c r="EK20" s="354"/>
      <c r="EL20" s="354"/>
      <c r="EM20" s="354"/>
      <c r="EN20" s="354"/>
      <c r="EO20" s="354"/>
      <c r="EP20" s="354"/>
      <c r="EQ20" s="354"/>
      <c r="ER20" s="354"/>
      <c r="ES20" s="354"/>
      <c r="ET20" s="354"/>
      <c r="EU20" s="354"/>
      <c r="EV20" s="354"/>
      <c r="EW20" s="354"/>
      <c r="EX20" s="354"/>
      <c r="EY20" s="354"/>
    </row>
    <row r="21" spans="1:155" s="1" customFormat="1" ht="18.75" customHeight="1" x14ac:dyDescent="0.25">
      <c r="A21" s="1677" t="s">
        <v>207</v>
      </c>
      <c r="B21" s="1677"/>
      <c r="C21" s="1677"/>
      <c r="D21" s="1677"/>
      <c r="E21" s="1677"/>
      <c r="F21" s="1678"/>
      <c r="G21" s="1710">
        <v>200</v>
      </c>
      <c r="H21" s="1710"/>
      <c r="I21" s="1710"/>
      <c r="J21" s="51"/>
      <c r="K21" s="1677"/>
      <c r="L21" s="1677"/>
      <c r="M21" s="1677"/>
      <c r="N21" s="1677"/>
      <c r="O21" s="1677"/>
      <c r="P21" s="759"/>
      <c r="T21" s="930"/>
      <c r="U21" s="930"/>
      <c r="V21" s="930"/>
      <c r="W21" s="930"/>
      <c r="X21" s="930"/>
      <c r="Y21" s="930"/>
      <c r="Z21" s="930"/>
      <c r="AB21" s="131"/>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1"/>
      <c r="BL21" s="131"/>
      <c r="BM21" s="131"/>
      <c r="BN21" s="131"/>
      <c r="BO21" s="131"/>
      <c r="BP21" s="131"/>
      <c r="BQ21" s="147" t="s">
        <v>45</v>
      </c>
      <c r="BR21" s="134">
        <f>IF(CB13&lt;500000,131.6+INT(+CB13/1000)*2.46,1362)</f>
        <v>131.6</v>
      </c>
      <c r="BS21" s="134">
        <f>+Settings!X9</f>
        <v>112.6</v>
      </c>
      <c r="BT21" s="134">
        <f>IF($G$12="Live In",+CB21,IF($G$12="FirstHome",CC21,CA21))</f>
        <v>0</v>
      </c>
      <c r="BU21" s="131"/>
      <c r="BV21" s="131"/>
      <c r="BW21" s="131"/>
      <c r="BX21" s="131"/>
      <c r="BY21" s="426">
        <f t="shared" si="4"/>
        <v>244.2</v>
      </c>
      <c r="BZ21" s="131"/>
      <c r="CA21" s="134">
        <f>IF(AND(CB13&gt;=0,CB13&lt;25000),0+INT(CB13*0.014),IF(AND(CB13&gt;=25000,CB13&lt;130000),350+INT((CB13-24999)*0.024),IF(AND(CB13&gt;=130000,CB13&lt;960000),2870+INT((CB13-129999)*0.06),IF(CB13&gt;=960000,INT((CB13)*0.05),"Check"))))</f>
        <v>0</v>
      </c>
      <c r="CB21" s="427">
        <f>IF(AND(CB13&gt;=0,CB13&lt;130000),0+INT(CB13*0),IF(AND(CB13&gt;=130000,CB13&lt;440000),2870+INT((CB13-130000)*0.05),IF(AND(CB13&gt;=440000,CB13&lt;550000),18370+INT((CB13-440000)*0.06),IF(CB13&gt;=550000,CA21,"Check"))))</f>
        <v>0</v>
      </c>
      <c r="CC21" s="427">
        <f>IF(CB13&lt;=600000,CB21/2,CB21)</f>
        <v>0</v>
      </c>
      <c r="CD21" s="131"/>
      <c r="CE21" s="131"/>
      <c r="CF21" s="131"/>
      <c r="CI21" s="422">
        <v>1200000</v>
      </c>
      <c r="CJ21" s="422">
        <v>390</v>
      </c>
      <c r="CL21" s="422"/>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row>
    <row r="22" spans="1:155" s="1" customFormat="1" ht="18.75" customHeight="1" x14ac:dyDescent="0.25">
      <c r="A22" s="1677" t="s">
        <v>208</v>
      </c>
      <c r="B22" s="1677"/>
      <c r="C22" s="1677"/>
      <c r="D22" s="1677"/>
      <c r="E22" s="1677"/>
      <c r="F22" s="1678"/>
      <c r="G22" s="1710"/>
      <c r="H22" s="1710"/>
      <c r="I22" s="1710"/>
      <c r="J22" s="51"/>
      <c r="K22" s="1661" t="s">
        <v>663</v>
      </c>
      <c r="L22" s="1661"/>
      <c r="M22" s="1661"/>
      <c r="N22" s="1661"/>
      <c r="O22" s="1661"/>
      <c r="P22" s="1683"/>
      <c r="Q22" s="1683"/>
      <c r="R22" s="1683"/>
      <c r="S22" s="1483"/>
      <c r="T22" s="1679" t="str">
        <f>IF(P22="","",AC36)</f>
        <v/>
      </c>
      <c r="U22" s="1679"/>
      <c r="V22" s="1679"/>
      <c r="W22" s="1679"/>
      <c r="X22" s="1679"/>
      <c r="Y22" s="1679"/>
      <c r="Z22" s="1679"/>
      <c r="AB22" s="131"/>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1"/>
      <c r="BL22" s="131"/>
      <c r="BM22" s="131"/>
      <c r="BN22" s="131"/>
      <c r="BO22" s="131"/>
      <c r="BP22" s="131"/>
      <c r="BQ22" s="147" t="s">
        <v>47</v>
      </c>
      <c r="BR22" s="134">
        <f>LOOKUP(CB13,CI8:CJ31)</f>
        <v>160</v>
      </c>
      <c r="BS22" s="134">
        <f>+Settings!X10</f>
        <v>165.8</v>
      </c>
      <c r="BT22" s="134">
        <f t="shared" si="2"/>
        <v>0</v>
      </c>
      <c r="BU22" s="131"/>
      <c r="BV22" s="131"/>
      <c r="BW22" s="131"/>
      <c r="BX22" s="131"/>
      <c r="BY22" s="426">
        <f t="shared" si="4"/>
        <v>325.8</v>
      </c>
      <c r="BZ22" s="131"/>
      <c r="CA22" s="134">
        <f>IF(AND(CB13&gt;=0,CB13&lt;80000),1.9*INT((CB13)/100),IF(AND(CB13&gt;=80000,CB13&lt;100000),1520+2.85*INT((CB13-79901)/100),IF(AND(CB13&gt;=100000,CB13&lt;250000),2090+3.8*INT((CB13-99901)/100),IF(AND(CB13&gt;=250000,CB13&lt;500000),7790+4.75*INT((CB13-249901)/100),IF(CB13&gt;=500000,19665+5.15*INT((CB13-499901)/100),"Check")))))</f>
        <v>0</v>
      </c>
      <c r="CB22" s="427" t="str">
        <f>IF(AND(CB13&gt;=120000,CB13&lt;150000),2280+2.85*INT((CB13-119901)/100),IF(AND(CB13&gt;=150000,CB13&lt;360000),3135+3.8*INT((CB13-149901)/100),IF(AND(CB13&gt;=360000,CB13&lt;725000),11115+4.75*INT((CB13-359901)/100),IF(CB13&gt;=725000,28453+5.15*INT((CB13-724901)/100),"Check"))))</f>
        <v>Check</v>
      </c>
      <c r="CC22" s="134" t="str">
        <f>+CB22</f>
        <v>Check</v>
      </c>
      <c r="CD22" s="131"/>
      <c r="CE22" s="131"/>
      <c r="CF22" s="131"/>
      <c r="CI22" s="422">
        <v>1300000</v>
      </c>
      <c r="CJ22" s="422">
        <v>410</v>
      </c>
      <c r="CL22" s="422"/>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row>
    <row r="23" spans="1:155" s="1" customFormat="1" ht="18.75" customHeight="1" x14ac:dyDescent="0.25">
      <c r="A23" s="1677" t="s">
        <v>209</v>
      </c>
      <c r="B23" s="1677"/>
      <c r="C23" s="1677"/>
      <c r="D23" s="1677"/>
      <c r="E23" s="1677"/>
      <c r="F23" s="1678"/>
      <c r="G23" s="1710">
        <v>200</v>
      </c>
      <c r="H23" s="1710"/>
      <c r="I23" s="1710"/>
      <c r="J23" s="51"/>
      <c r="K23" s="1661" t="s">
        <v>664</v>
      </c>
      <c r="L23" s="1661"/>
      <c r="M23" s="1661"/>
      <c r="N23" s="1661"/>
      <c r="O23" s="1661"/>
      <c r="P23" s="1683"/>
      <c r="Q23" s="1683"/>
      <c r="R23" s="1683"/>
      <c r="S23" s="1483"/>
      <c r="T23" s="1679" t="str">
        <f>IF(P23="","",AC37)</f>
        <v/>
      </c>
      <c r="U23" s="1679"/>
      <c r="V23" s="1679"/>
      <c r="W23" s="1679"/>
      <c r="X23" s="1679"/>
      <c r="Y23" s="1679"/>
      <c r="Z23" s="1679"/>
      <c r="AB23" s="131"/>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1"/>
      <c r="BL23" s="131"/>
      <c r="BM23" s="131"/>
      <c r="BN23" s="131"/>
      <c r="BO23" s="131"/>
      <c r="BP23" s="131"/>
      <c r="BQ23" s="147" t="s">
        <v>48</v>
      </c>
      <c r="BR23" s="134">
        <f>+Settings!W11</f>
        <v>142</v>
      </c>
      <c r="BS23" s="134">
        <f>+Settings!X11</f>
        <v>142</v>
      </c>
      <c r="BT23" s="134">
        <f t="shared" si="2"/>
        <v>0</v>
      </c>
      <c r="BU23" s="131"/>
      <c r="BV23" s="131"/>
      <c r="BW23" s="131"/>
      <c r="BX23" s="131"/>
      <c r="BY23" s="426">
        <f t="shared" si="4"/>
        <v>284</v>
      </c>
      <c r="BZ23" s="131"/>
      <c r="CA23" s="134">
        <f>IF(AND(CB13&gt;=0,CB13&lt;525000),(0.06571441*(INT(CB13/1000)*INT(CB13/1000))+(15*INT(CB13/1000))),IF(AND(CB13&gt;=525000,CB13&lt;3000000),4.95*INT((CB13)/100),IF(CB13&gt;=3000000,5.45*INT((CB13)/100),"Check")))</f>
        <v>0</v>
      </c>
      <c r="CB23" s="134">
        <f>+CA23</f>
        <v>0</v>
      </c>
      <c r="CC23" s="134">
        <f>+CB23</f>
        <v>0</v>
      </c>
      <c r="CD23" s="131"/>
      <c r="CE23" s="131"/>
      <c r="CF23" s="131"/>
      <c r="CI23" s="422">
        <v>1400000</v>
      </c>
      <c r="CJ23" s="422">
        <v>430</v>
      </c>
      <c r="CL23" s="422"/>
      <c r="DQ23" s="354"/>
      <c r="DR23" s="354"/>
      <c r="DS23" s="354"/>
      <c r="DT23" s="354"/>
      <c r="DU23" s="354"/>
      <c r="DV23" s="354"/>
      <c r="DW23" s="354"/>
      <c r="DX23" s="354"/>
      <c r="DY23" s="354"/>
      <c r="DZ23" s="354"/>
      <c r="EA23" s="354"/>
      <c r="EB23" s="354"/>
      <c r="EC23" s="354"/>
      <c r="ED23" s="354"/>
      <c r="EE23" s="354"/>
      <c r="EF23" s="354"/>
      <c r="EG23" s="354"/>
      <c r="EH23" s="354"/>
      <c r="EI23" s="354"/>
      <c r="EJ23" s="354"/>
      <c r="EK23" s="354"/>
      <c r="EL23" s="354"/>
      <c r="EM23" s="354"/>
      <c r="EN23" s="354"/>
      <c r="EO23" s="354"/>
      <c r="EP23" s="354"/>
      <c r="EQ23" s="354"/>
      <c r="ER23" s="354"/>
      <c r="ES23" s="354"/>
      <c r="ET23" s="354"/>
      <c r="EU23" s="354"/>
      <c r="EV23" s="354"/>
      <c r="EW23" s="354"/>
      <c r="EX23" s="354"/>
      <c r="EY23" s="354"/>
    </row>
    <row r="24" spans="1:155" s="1" customFormat="1" ht="18.75" customHeight="1" x14ac:dyDescent="0.25">
      <c r="A24" s="1677" t="s">
        <v>19</v>
      </c>
      <c r="B24" s="1677"/>
      <c r="C24" s="1677"/>
      <c r="D24" s="1677"/>
      <c r="E24" s="1677"/>
      <c r="F24" s="1678"/>
      <c r="G24" s="1710"/>
      <c r="H24" s="1710"/>
      <c r="I24" s="1710"/>
      <c r="J24" s="51"/>
      <c r="K24" s="1661" t="s">
        <v>726</v>
      </c>
      <c r="L24" s="1661"/>
      <c r="M24" s="1661"/>
      <c r="N24" s="1661"/>
      <c r="O24" s="1661"/>
      <c r="P24" s="1684"/>
      <c r="Q24" s="1684"/>
      <c r="R24" s="1684"/>
      <c r="S24" s="1483"/>
      <c r="T24" s="1679" t="str">
        <f>IF(P24="","",AC38)</f>
        <v/>
      </c>
      <c r="U24" s="1788"/>
      <c r="V24" s="1788"/>
      <c r="W24" s="1788"/>
      <c r="X24" s="1788"/>
      <c r="Y24" s="1788"/>
      <c r="Z24" s="1788"/>
      <c r="AB24" s="131"/>
      <c r="AC24" s="1777" t="s">
        <v>1453</v>
      </c>
      <c r="AD24" s="1779"/>
      <c r="AE24" s="1778"/>
      <c r="AF24" s="189"/>
      <c r="AG24" s="189"/>
      <c r="AH24" s="189"/>
      <c r="AI24" s="189"/>
      <c r="AJ24" s="189"/>
      <c r="AK24" s="189"/>
      <c r="AL24" s="189"/>
      <c r="AM24" s="189"/>
      <c r="AN24" s="189"/>
      <c r="AO24" s="189"/>
      <c r="AP24" s="189"/>
      <c r="AQ24" s="189"/>
      <c r="AR24" s="135"/>
      <c r="AS24" s="135"/>
      <c r="AT24" s="135"/>
      <c r="AU24" s="135"/>
      <c r="AV24" s="135"/>
      <c r="AW24" s="135"/>
      <c r="AX24" s="135"/>
      <c r="AY24" s="135"/>
      <c r="AZ24" s="135"/>
      <c r="BA24" s="135"/>
      <c r="BB24" s="135"/>
      <c r="BC24" s="135"/>
      <c r="BD24" s="135"/>
      <c r="BE24" s="135"/>
      <c r="BF24" s="135"/>
      <c r="BG24" s="135"/>
      <c r="BH24" s="135"/>
      <c r="BI24" s="135"/>
      <c r="BJ24" s="135"/>
      <c r="BK24" s="131"/>
      <c r="BL24" s="131"/>
      <c r="BM24" s="131"/>
      <c r="BN24" s="131"/>
      <c r="BO24" s="131"/>
      <c r="BP24" s="131"/>
      <c r="BQ24" s="182"/>
      <c r="BR24" s="729"/>
      <c r="BS24" s="729"/>
      <c r="BT24" s="729"/>
      <c r="BU24" s="131"/>
      <c r="BV24" s="131"/>
      <c r="BW24" s="131"/>
      <c r="BX24" s="131"/>
      <c r="BY24" s="748"/>
      <c r="BZ24" s="131"/>
      <c r="CA24" s="729"/>
      <c r="CB24" s="729"/>
      <c r="CC24" s="729"/>
      <c r="CD24" s="131"/>
      <c r="CE24" s="131"/>
      <c r="CF24" s="131"/>
      <c r="CI24" s="422"/>
      <c r="CJ24" s="422"/>
      <c r="CL24" s="422"/>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c r="EO24" s="354"/>
      <c r="EP24" s="354"/>
      <c r="EQ24" s="354"/>
      <c r="ER24" s="354"/>
      <c r="ES24" s="354"/>
      <c r="ET24" s="354"/>
      <c r="EU24" s="354"/>
      <c r="EV24" s="354"/>
      <c r="EW24" s="354"/>
      <c r="EX24" s="354"/>
      <c r="EY24" s="354"/>
    </row>
    <row r="25" spans="1:155" s="1" customFormat="1" ht="18.75" customHeight="1" x14ac:dyDescent="0.25">
      <c r="A25" s="1677" t="s">
        <v>212</v>
      </c>
      <c r="B25" s="1677"/>
      <c r="C25" s="1677"/>
      <c r="D25" s="1677"/>
      <c r="E25" s="1677"/>
      <c r="F25" s="1678"/>
      <c r="G25" s="1710"/>
      <c r="H25" s="1710"/>
      <c r="I25" s="1710"/>
      <c r="J25" s="51"/>
      <c r="K25" s="1677" t="s">
        <v>616</v>
      </c>
      <c r="L25" s="1677"/>
      <c r="M25" s="1677"/>
      <c r="N25" s="1677"/>
      <c r="O25" s="1678"/>
      <c r="P25" s="1706" t="str">
        <f>IF(Purchase="","",IF(SUM(P22:R24)=0,+G11*0.8,SUM(P22:R24)))</f>
        <v/>
      </c>
      <c r="Q25" s="1707"/>
      <c r="R25" s="1708"/>
      <c r="S25" s="325"/>
      <c r="T25" s="1667" t="s">
        <v>647</v>
      </c>
      <c r="U25" s="1667"/>
      <c r="V25" s="1667"/>
      <c r="W25" s="1668"/>
      <c r="X25" s="1789" t="e">
        <f>+PurchaseLoanAmount+G25</f>
        <v>#VALUE!</v>
      </c>
      <c r="Y25" s="1790"/>
      <c r="Z25" s="1791"/>
      <c r="AB25" s="131"/>
      <c r="AC25" s="1484" t="s">
        <v>1454</v>
      </c>
      <c r="AD25" s="1485" t="s">
        <v>411</v>
      </c>
      <c r="AE25" s="1485" t="s">
        <v>177</v>
      </c>
      <c r="AF25" s="189"/>
      <c r="AG25" s="189"/>
      <c r="AH25" s="189"/>
      <c r="AI25" s="189"/>
      <c r="AJ25" s="189"/>
      <c r="AK25" s="189"/>
      <c r="AL25" s="189"/>
      <c r="AM25" s="189"/>
      <c r="AN25" s="189"/>
      <c r="AO25" s="189"/>
      <c r="AP25" s="189"/>
      <c r="AQ25" s="189"/>
      <c r="AR25" s="135"/>
      <c r="AS25" s="135"/>
      <c r="AT25" s="135"/>
      <c r="AU25" s="135"/>
      <c r="AV25" s="135"/>
      <c r="AW25" s="135"/>
      <c r="AX25" s="135"/>
      <c r="AY25" s="135"/>
      <c r="AZ25" s="135"/>
      <c r="BA25" s="135"/>
      <c r="BB25" s="135"/>
      <c r="BC25" s="135"/>
      <c r="BD25" s="135"/>
      <c r="BE25" s="135"/>
      <c r="BF25" s="135"/>
      <c r="BG25" s="135"/>
      <c r="BH25" s="135"/>
      <c r="BI25" s="135"/>
      <c r="BJ25" s="135"/>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I25" s="422">
        <v>1500000</v>
      </c>
      <c r="CJ25" s="422">
        <v>450</v>
      </c>
      <c r="CL25" s="422"/>
      <c r="DQ25" s="354"/>
      <c r="DR25" s="354"/>
      <c r="DS25" s="354"/>
      <c r="DT25" s="354"/>
      <c r="DU25" s="354"/>
      <c r="DV25" s="354"/>
      <c r="DW25" s="354"/>
      <c r="DX25" s="354"/>
      <c r="DY25" s="354"/>
      <c r="DZ25" s="354"/>
      <c r="EA25" s="354"/>
      <c r="EB25" s="354"/>
      <c r="EC25" s="354"/>
      <c r="ED25" s="354"/>
      <c r="EE25" s="354"/>
      <c r="EF25" s="354"/>
      <c r="EG25" s="354"/>
      <c r="EH25" s="354"/>
      <c r="EI25" s="354"/>
      <c r="EJ25" s="354"/>
      <c r="EK25" s="354"/>
      <c r="EL25" s="354"/>
      <c r="EM25" s="354"/>
      <c r="EN25" s="354"/>
      <c r="EO25" s="354"/>
      <c r="EP25" s="354"/>
      <c r="EQ25" s="354"/>
      <c r="ER25" s="354"/>
      <c r="ES25" s="354"/>
      <c r="ET25" s="354"/>
      <c r="EU25" s="354"/>
      <c r="EV25" s="354"/>
      <c r="EW25" s="354"/>
      <c r="EX25" s="354"/>
      <c r="EY25" s="354"/>
    </row>
    <row r="26" spans="1:155" s="1" customFormat="1" ht="18.75" customHeight="1" x14ac:dyDescent="0.25">
      <c r="A26" s="1785" t="s">
        <v>672</v>
      </c>
      <c r="B26" s="1785"/>
      <c r="C26" s="1785"/>
      <c r="D26" s="1785"/>
      <c r="E26" s="1785"/>
      <c r="F26" s="1786"/>
      <c r="G26" s="1787" t="str">
        <f>IF(Purchase="","",IF(A11="Purchase Price",SUM(G11:I25),SUM(G13:I25)))</f>
        <v/>
      </c>
      <c r="H26" s="1787"/>
      <c r="I26" s="1787"/>
      <c r="J26" s="51"/>
      <c r="K26" s="1676" t="s">
        <v>217</v>
      </c>
      <c r="L26" s="1677"/>
      <c r="M26" s="1677"/>
      <c r="N26" s="1677"/>
      <c r="O26" s="1678"/>
      <c r="P26" s="1706" t="str">
        <f>IF(Purchase="","",IF(SUM(P22:R24)=0,SUM(P11:R25),SUM(P11:R24)))</f>
        <v/>
      </c>
      <c r="Q26" s="1707"/>
      <c r="R26" s="1708"/>
      <c r="T26" s="1674" t="s">
        <v>648</v>
      </c>
      <c r="U26" s="1674"/>
      <c r="V26" s="1674"/>
      <c r="W26" s="1675"/>
      <c r="X26" s="1669" t="e">
        <f>+P26+G25</f>
        <v>#VALUE!</v>
      </c>
      <c r="Y26" s="1670"/>
      <c r="Z26" s="1671"/>
      <c r="AB26" s="131"/>
      <c r="AC26" s="1500">
        <v>42792</v>
      </c>
      <c r="AD26" s="1501">
        <v>42</v>
      </c>
      <c r="AE26" s="1500">
        <f>+AC26+AD26</f>
        <v>42834</v>
      </c>
      <c r="AF26" s="191"/>
      <c r="AG26" s="191"/>
      <c r="AH26" s="191"/>
      <c r="AI26" s="191"/>
      <c r="AJ26" s="191"/>
      <c r="AK26" s="191"/>
      <c r="AL26" s="191"/>
      <c r="AM26" s="191"/>
      <c r="AN26" s="191"/>
      <c r="AO26" s="191"/>
      <c r="AP26" s="191"/>
      <c r="AQ26" s="191"/>
      <c r="AR26" s="131"/>
      <c r="AS26" s="131"/>
      <c r="AT26" s="135"/>
      <c r="AU26" s="135"/>
      <c r="AV26" s="135"/>
      <c r="AW26" s="135"/>
      <c r="AX26" s="135"/>
      <c r="AY26" s="135"/>
      <c r="AZ26" s="135"/>
      <c r="BA26" s="135"/>
      <c r="BB26" s="135"/>
      <c r="BC26" s="135"/>
      <c r="BD26" s="135"/>
      <c r="BE26" s="135"/>
      <c r="BF26" s="135"/>
      <c r="BG26" s="135"/>
      <c r="BH26" s="135"/>
      <c r="BI26" s="135"/>
      <c r="BJ26" s="135"/>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I26" s="422">
        <v>1600000</v>
      </c>
      <c r="CJ26" s="422">
        <v>470</v>
      </c>
      <c r="CL26" s="422"/>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row>
    <row r="27" spans="1:155" s="1" customFormat="1" ht="18.75" customHeight="1" x14ac:dyDescent="0.25">
      <c r="A27" s="68"/>
      <c r="B27" s="68"/>
      <c r="C27" s="68"/>
      <c r="D27" s="69"/>
      <c r="E27" s="69"/>
      <c r="F27" s="69"/>
      <c r="G27" s="51"/>
      <c r="H27" s="51"/>
      <c r="I27" s="51"/>
      <c r="J27" s="51"/>
      <c r="K27" s="1676" t="str">
        <f>IF(Purchase="","Surplus",IF(P27&gt;0,"Surplus","Funds Required"))</f>
        <v>Surplus</v>
      </c>
      <c r="L27" s="1677"/>
      <c r="M27" s="1677"/>
      <c r="N27" s="1677"/>
      <c r="O27" s="1678"/>
      <c r="P27" s="1706" t="str">
        <f>IF(Purchase="","",+P26-G26)</f>
        <v/>
      </c>
      <c r="Q27" s="1707"/>
      <c r="R27" s="1708"/>
      <c r="T27" s="1674" t="str">
        <f>IF(Purchase="","Surplus",IF(X27&gt;0,"Surplus","Funds Required"))</f>
        <v>Surplus</v>
      </c>
      <c r="U27" s="1674"/>
      <c r="V27" s="1674"/>
      <c r="W27" s="1675"/>
      <c r="X27" s="1669" t="e">
        <f>+P27+G25</f>
        <v>#VALUE!</v>
      </c>
      <c r="Y27" s="1670"/>
      <c r="Z27" s="1671"/>
      <c r="AB27" s="131"/>
      <c r="AC27" s="191"/>
      <c r="AD27" s="191"/>
      <c r="AE27" s="191"/>
      <c r="AF27" s="191"/>
      <c r="AG27" s="191"/>
      <c r="AH27" s="191"/>
      <c r="AI27" s="191"/>
      <c r="AJ27" s="191"/>
      <c r="AK27" s="191"/>
      <c r="AL27" s="191"/>
      <c r="AM27" s="191"/>
      <c r="AN27" s="191"/>
      <c r="AO27" s="191"/>
      <c r="AP27" s="191"/>
      <c r="AQ27" s="191"/>
      <c r="AR27" s="199"/>
      <c r="AS27" s="199"/>
      <c r="AT27" s="199"/>
      <c r="AU27" s="199"/>
      <c r="AV27" s="135"/>
      <c r="AW27" s="135"/>
      <c r="AX27" s="135"/>
      <c r="AY27" s="135"/>
      <c r="AZ27" s="135"/>
      <c r="BA27" s="135"/>
      <c r="BB27" s="135"/>
      <c r="BC27" s="135"/>
      <c r="BD27" s="135"/>
      <c r="BE27" s="135"/>
      <c r="BF27" s="135"/>
      <c r="BG27" s="135"/>
      <c r="BH27" s="135"/>
      <c r="BI27" s="135"/>
      <c r="BJ27" s="135"/>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I27" s="422">
        <v>1700000</v>
      </c>
      <c r="CJ27" s="422">
        <v>490</v>
      </c>
      <c r="CL27" s="422"/>
      <c r="DQ27" s="354"/>
      <c r="DR27" s="354"/>
      <c r="DS27" s="354"/>
      <c r="DT27" s="354"/>
      <c r="DU27" s="354"/>
      <c r="DV27" s="354"/>
      <c r="DW27" s="354"/>
      <c r="DX27" s="354"/>
      <c r="DY27" s="354"/>
      <c r="DZ27" s="354"/>
      <c r="EA27" s="354"/>
      <c r="EB27" s="354"/>
      <c r="EC27" s="354"/>
      <c r="ED27" s="354"/>
      <c r="EE27" s="354"/>
      <c r="EF27" s="354"/>
      <c r="EG27" s="354"/>
      <c r="EH27" s="354"/>
      <c r="EI27" s="354"/>
      <c r="EJ27" s="354"/>
      <c r="EK27" s="354"/>
      <c r="EL27" s="354"/>
      <c r="EM27" s="354"/>
      <c r="EN27" s="354"/>
      <c r="EO27" s="354"/>
      <c r="EP27" s="354"/>
      <c r="EQ27" s="354"/>
      <c r="ER27" s="354"/>
      <c r="ES27" s="354"/>
      <c r="ET27" s="354"/>
      <c r="EU27" s="354"/>
      <c r="EV27" s="354"/>
      <c r="EW27" s="354"/>
      <c r="EX27" s="354"/>
      <c r="EY27" s="354"/>
    </row>
    <row r="28" spans="1:155" s="1" customFormat="1" ht="8.65" customHeigh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820"/>
      <c r="AC28" s="191"/>
      <c r="AD28" s="191"/>
      <c r="AE28" s="191"/>
      <c r="AF28" s="191"/>
      <c r="AG28" s="191"/>
      <c r="AH28" s="191"/>
      <c r="AI28" s="191"/>
      <c r="AJ28" s="191"/>
      <c r="AK28" s="191"/>
      <c r="AL28" s="191"/>
      <c r="AM28" s="191"/>
      <c r="AN28" s="191"/>
      <c r="AO28" s="191"/>
      <c r="AP28" s="191"/>
      <c r="AQ28" s="191"/>
      <c r="AR28" s="199"/>
      <c r="AS28" s="199"/>
      <c r="AT28" s="199"/>
      <c r="AU28" s="199"/>
      <c r="AV28" s="135"/>
      <c r="AW28" s="135"/>
      <c r="AX28" s="135"/>
      <c r="AY28" s="135"/>
      <c r="AZ28" s="135"/>
      <c r="BA28" s="135"/>
      <c r="BB28" s="135"/>
      <c r="BC28" s="135"/>
      <c r="BD28" s="135"/>
      <c r="BE28" s="135"/>
      <c r="BF28" s="135"/>
      <c r="BG28" s="135"/>
      <c r="BH28" s="135"/>
      <c r="BI28" s="135"/>
      <c r="BJ28" s="135"/>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I28" s="422">
        <v>1800000</v>
      </c>
      <c r="CJ28" s="422">
        <v>510</v>
      </c>
      <c r="CL28" s="422"/>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row>
    <row r="29" spans="1:155" s="1" customFormat="1" ht="18.75" customHeight="1" x14ac:dyDescent="0.25">
      <c r="A29" s="1718" t="s">
        <v>420</v>
      </c>
      <c r="B29" s="1718"/>
      <c r="C29" s="1718"/>
      <c r="D29" s="1718"/>
      <c r="E29" s="1718"/>
      <c r="F29" s="1718"/>
      <c r="G29" s="1718"/>
      <c r="H29" s="1718"/>
      <c r="I29" s="1718"/>
      <c r="T29" s="68"/>
      <c r="U29" s="68"/>
      <c r="V29" s="68"/>
      <c r="W29" s="68"/>
      <c r="X29" s="68"/>
      <c r="Y29" s="68"/>
      <c r="Z29" s="68"/>
      <c r="AB29" s="131"/>
      <c r="AC29" s="1777" t="s">
        <v>917</v>
      </c>
      <c r="AD29" s="1778"/>
      <c r="AE29" s="1486"/>
      <c r="AF29" s="1486"/>
      <c r="AG29" s="1486"/>
      <c r="AH29" s="1486"/>
      <c r="AI29" s="1486"/>
      <c r="AJ29" s="1486"/>
      <c r="AK29" s="1486"/>
      <c r="AL29" s="1486"/>
      <c r="AM29" s="1486"/>
      <c r="AN29" s="1486"/>
      <c r="AO29" s="1486"/>
      <c r="AP29" s="1486"/>
      <c r="AQ29" s="1486"/>
      <c r="AR29" s="199"/>
      <c r="AS29" s="199"/>
      <c r="AT29" s="199"/>
      <c r="AU29" s="199"/>
      <c r="AV29" s="135"/>
      <c r="AW29" s="135"/>
      <c r="AX29" s="135"/>
      <c r="AY29" s="135"/>
      <c r="AZ29" s="135"/>
      <c r="BA29" s="135"/>
      <c r="BB29" s="135"/>
      <c r="BC29" s="135"/>
      <c r="BD29" s="135"/>
      <c r="BE29" s="135"/>
      <c r="BF29" s="135"/>
      <c r="BG29" s="135"/>
      <c r="BH29" s="135"/>
      <c r="BI29" s="135"/>
      <c r="BJ29" s="135"/>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I29" s="422">
        <v>1900000</v>
      </c>
      <c r="CJ29" s="422">
        <v>530</v>
      </c>
      <c r="CL29" s="422"/>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row>
    <row r="30" spans="1:155" s="1" customFormat="1" ht="18.75" customHeight="1" x14ac:dyDescent="0.2">
      <c r="A30" s="1665" t="s">
        <v>290</v>
      </c>
      <c r="B30" s="1665"/>
      <c r="C30" s="1665"/>
      <c r="D30" s="1665"/>
      <c r="E30" s="1709">
        <v>0.04</v>
      </c>
      <c r="F30" s="1532"/>
      <c r="G30" s="1665" t="s">
        <v>617</v>
      </c>
      <c r="H30" s="1665"/>
      <c r="I30" s="1665"/>
      <c r="J30" s="1665"/>
      <c r="K30" s="387">
        <v>5</v>
      </c>
      <c r="L30" s="119" t="s">
        <v>292</v>
      </c>
      <c r="M30" s="1664" t="str">
        <f>+U31</f>
        <v>Instal IO</v>
      </c>
      <c r="N30" s="1665"/>
      <c r="O30" s="1666"/>
      <c r="P30" s="1672" t="str">
        <f>IF(Purchase="","",+PurchaseLoanAmount*E30/12)</f>
        <v/>
      </c>
      <c r="Q30" s="1673"/>
      <c r="R30" s="392" t="s">
        <v>69</v>
      </c>
      <c r="U30" s="1674" t="s">
        <v>649</v>
      </c>
      <c r="V30" s="1674"/>
      <c r="W30" s="1675"/>
      <c r="X30" s="1662" t="str">
        <f>IF(Purchase="","",PMT(E30/12,K31*12,-X25))</f>
        <v/>
      </c>
      <c r="Y30" s="1663"/>
      <c r="Z30" s="522" t="s">
        <v>69</v>
      </c>
      <c r="AB30" s="131"/>
      <c r="AC30" s="1505" t="s">
        <v>80</v>
      </c>
      <c r="AD30" s="1506" t="s">
        <v>913</v>
      </c>
      <c r="AE30" s="1486"/>
      <c r="AF30" s="1486"/>
      <c r="AG30" s="191"/>
      <c r="AH30" s="191"/>
      <c r="AI30" s="191"/>
      <c r="AJ30" s="191"/>
      <c r="AK30" s="191"/>
      <c r="AL30" s="191"/>
      <c r="AM30" s="191"/>
      <c r="AN30" s="191"/>
      <c r="AO30" s="191"/>
      <c r="AP30" s="191"/>
      <c r="AQ30" s="191"/>
      <c r="AR30" s="199"/>
      <c r="AS30" s="199"/>
      <c r="AT30" s="199"/>
      <c r="AU30" s="199"/>
      <c r="AV30" s="135"/>
      <c r="AW30" s="135"/>
      <c r="AX30" s="135"/>
      <c r="AY30" s="135"/>
      <c r="AZ30" s="135"/>
      <c r="BA30" s="135"/>
      <c r="BB30" s="135"/>
      <c r="BC30" s="135"/>
      <c r="BD30" s="135"/>
      <c r="BE30" s="135"/>
      <c r="BF30" s="135"/>
      <c r="BG30" s="135"/>
      <c r="BH30" s="135"/>
      <c r="BI30" s="135"/>
      <c r="BJ30" s="135"/>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I30" s="422">
        <v>2000000</v>
      </c>
      <c r="CJ30" s="422">
        <v>550</v>
      </c>
      <c r="CL30" s="422"/>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row>
    <row r="31" spans="1:155" s="1" customFormat="1" ht="18.75" customHeight="1" x14ac:dyDescent="0.25">
      <c r="G31" s="1665" t="s">
        <v>291</v>
      </c>
      <c r="H31" s="1665"/>
      <c r="I31" s="1665"/>
      <c r="J31" s="1665"/>
      <c r="K31" s="387">
        <v>30</v>
      </c>
      <c r="L31" s="119" t="s">
        <v>292</v>
      </c>
      <c r="M31" s="1664" t="str">
        <f>+U30</f>
        <v>Instal P&amp;I</v>
      </c>
      <c r="N31" s="1665"/>
      <c r="O31" s="1666"/>
      <c r="P31" s="1672" t="str">
        <f>IF(Purchase="","",PMT(E30/12,K31*12,-P25))</f>
        <v/>
      </c>
      <c r="Q31" s="1673"/>
      <c r="R31" s="392" t="s">
        <v>69</v>
      </c>
      <c r="U31" s="1674" t="s">
        <v>650</v>
      </c>
      <c r="V31" s="1674"/>
      <c r="W31" s="1675"/>
      <c r="X31" s="1662" t="str">
        <f>IF(Purchase="","",X25*E30/12)</f>
        <v/>
      </c>
      <c r="Y31" s="1663"/>
      <c r="Z31" s="522" t="s">
        <v>69</v>
      </c>
      <c r="AB31" s="131"/>
      <c r="AC31" s="1504">
        <v>6.4999999999999997E-3</v>
      </c>
      <c r="AD31" s="1504">
        <v>1.5E-3</v>
      </c>
      <c r="AE31" s="1486"/>
      <c r="AF31" s="1486"/>
      <c r="AG31" s="191"/>
      <c r="AH31" s="191"/>
      <c r="AI31" s="191"/>
      <c r="AJ31" s="191"/>
      <c r="AK31" s="191"/>
      <c r="AL31" s="191"/>
      <c r="AM31" s="191"/>
      <c r="AN31" s="191"/>
      <c r="AO31" s="191"/>
      <c r="AP31" s="191"/>
      <c r="AQ31" s="191"/>
      <c r="AR31" s="131"/>
      <c r="AS31" s="200"/>
      <c r="AT31" s="135"/>
      <c r="AU31" s="131"/>
      <c r="AV31" s="131"/>
      <c r="AW31" s="131"/>
      <c r="AX31" s="131"/>
      <c r="AY31" s="131"/>
      <c r="AZ31" s="131"/>
      <c r="BA31" s="131"/>
      <c r="BB31" s="131"/>
      <c r="BC31" s="131"/>
      <c r="BD31" s="131"/>
      <c r="BE31" s="131"/>
      <c r="BF31" s="131"/>
      <c r="BG31" s="131"/>
      <c r="BH31" s="131"/>
      <c r="BI31" s="135"/>
      <c r="BJ31" s="135"/>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I31" s="422">
        <v>99990000</v>
      </c>
      <c r="CJ31" s="422">
        <f>550+((CB13-2000000)/100000)*20</f>
        <v>150</v>
      </c>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row>
    <row r="32" spans="1:155" s="1" customFormat="1" ht="18.75" customHeight="1" x14ac:dyDescent="0.2">
      <c r="D32" s="51"/>
      <c r="E32" s="51"/>
      <c r="F32" s="51"/>
      <c r="G32" s="51"/>
      <c r="H32" s="51"/>
      <c r="I32" s="51"/>
      <c r="J32" s="51"/>
      <c r="K32" s="514"/>
      <c r="L32" s="515"/>
      <c r="M32" s="515"/>
      <c r="P32" s="1696" t="s">
        <v>651</v>
      </c>
      <c r="Q32" s="1696"/>
      <c r="R32" s="1696"/>
      <c r="T32" s="68"/>
      <c r="U32" s="68"/>
      <c r="V32" s="68"/>
      <c r="W32" s="68"/>
      <c r="X32" s="1692" t="s">
        <v>652</v>
      </c>
      <c r="Y32" s="1692"/>
      <c r="Z32" s="1692"/>
      <c r="AB32" s="131"/>
      <c r="AC32" s="1487" t="str">
        <f>IFERROR(+X25*AC31,"")</f>
        <v/>
      </c>
      <c r="AD32" s="1487" t="str">
        <f>IFERROR(X25*AD31/12,"")</f>
        <v/>
      </c>
      <c r="AE32" s="1486"/>
      <c r="AF32" s="1486"/>
      <c r="AG32" s="191"/>
      <c r="AH32" s="191"/>
      <c r="AI32" s="191"/>
      <c r="AJ32" s="191"/>
      <c r="AK32" s="191"/>
      <c r="AL32" s="191"/>
      <c r="AM32" s="191"/>
      <c r="AN32" s="191"/>
      <c r="AO32" s="191"/>
      <c r="AP32" s="191"/>
      <c r="AQ32" s="191"/>
      <c r="AR32" s="131"/>
      <c r="AS32" s="131"/>
      <c r="AT32" s="135"/>
      <c r="AU32" s="131"/>
      <c r="AV32" s="131"/>
      <c r="AW32" s="131"/>
      <c r="AX32" s="131"/>
      <c r="AY32" s="131"/>
      <c r="AZ32" s="131"/>
      <c r="BA32" s="131"/>
      <c r="BB32" s="131"/>
      <c r="BC32" s="131"/>
      <c r="BD32" s="131"/>
      <c r="BE32" s="131"/>
      <c r="BF32" s="131"/>
      <c r="BG32" s="131"/>
      <c r="BH32" s="131"/>
      <c r="BI32" s="135"/>
      <c r="BJ32" s="135"/>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DQ32" s="354"/>
      <c r="DR32" s="354"/>
      <c r="DS32" s="354"/>
      <c r="DT32" s="354"/>
      <c r="DU32" s="354"/>
      <c r="DV32" s="354"/>
      <c r="DW32" s="354"/>
      <c r="DX32" s="354"/>
      <c r="DY32" s="354"/>
      <c r="DZ32" s="354"/>
      <c r="EA32" s="354"/>
      <c r="EB32" s="354"/>
      <c r="EC32" s="354"/>
      <c r="ED32" s="354"/>
      <c r="EE32" s="354"/>
      <c r="EF32" s="354"/>
      <c r="EG32" s="354"/>
      <c r="EH32" s="354"/>
      <c r="EI32" s="354"/>
      <c r="EJ32" s="354"/>
      <c r="EK32" s="354"/>
      <c r="EL32" s="354"/>
      <c r="EM32" s="354"/>
      <c r="EN32" s="354"/>
      <c r="EO32" s="354"/>
      <c r="EP32" s="354"/>
      <c r="EQ32" s="354"/>
      <c r="ER32" s="354"/>
      <c r="ES32" s="354"/>
      <c r="ET32" s="354"/>
      <c r="EU32" s="354"/>
      <c r="EV32" s="354"/>
      <c r="EW32" s="354"/>
      <c r="EX32" s="354"/>
      <c r="EY32" s="354"/>
    </row>
    <row r="33" spans="1:155" s="1" customFormat="1" ht="18.75" customHeight="1" x14ac:dyDescent="0.2">
      <c r="A33" s="1665" t="s">
        <v>731</v>
      </c>
      <c r="B33" s="1665"/>
      <c r="C33" s="1665"/>
      <c r="D33" s="1665"/>
      <c r="E33" s="1694"/>
      <c r="F33" s="1695"/>
      <c r="G33" s="51"/>
      <c r="H33" s="51"/>
      <c r="I33" s="51"/>
      <c r="J33" s="51"/>
      <c r="K33" s="514"/>
      <c r="L33" s="515"/>
      <c r="M33" s="515"/>
      <c r="P33" s="1697" t="str">
        <f>IF(Purchase="","",CC12)</f>
        <v/>
      </c>
      <c r="Q33" s="1698"/>
      <c r="R33" s="1699"/>
      <c r="T33" s="68"/>
      <c r="U33" s="68"/>
      <c r="V33" s="68"/>
      <c r="W33" s="68"/>
      <c r="X33" s="1689" t="str">
        <f>IF(Purchase="","",CB12)</f>
        <v/>
      </c>
      <c r="Y33" s="1690"/>
      <c r="Z33" s="1691"/>
      <c r="AB33" s="131"/>
      <c r="AC33" s="191"/>
      <c r="AD33" s="191"/>
      <c r="AE33" s="1486"/>
      <c r="AF33" s="1486"/>
      <c r="AG33" s="191"/>
      <c r="AH33" s="191"/>
      <c r="AI33" s="191"/>
      <c r="AJ33" s="191"/>
      <c r="AK33" s="191"/>
      <c r="AL33" s="191"/>
      <c r="AM33" s="191"/>
      <c r="AN33" s="191"/>
      <c r="AO33" s="191"/>
      <c r="AP33" s="191"/>
      <c r="AQ33" s="191"/>
      <c r="AR33" s="131"/>
      <c r="AS33" s="131"/>
      <c r="AT33" s="131"/>
      <c r="AU33" s="131"/>
      <c r="AV33" s="131"/>
      <c r="AW33" s="131"/>
      <c r="AX33" s="131"/>
      <c r="AY33" s="131"/>
      <c r="AZ33" s="131"/>
      <c r="BA33" s="131"/>
      <c r="BB33" s="131"/>
      <c r="BC33" s="131"/>
      <c r="BD33" s="131"/>
      <c r="BE33" s="131"/>
      <c r="BF33" s="131"/>
      <c r="BG33" s="131"/>
      <c r="BH33" s="131"/>
      <c r="BI33" s="135"/>
      <c r="BJ33" s="135"/>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DQ33" s="354"/>
      <c r="DR33" s="354"/>
      <c r="DS33" s="354"/>
      <c r="DT33" s="354"/>
      <c r="DU33" s="354"/>
      <c r="DV33" s="354"/>
      <c r="DW33" s="354"/>
      <c r="DX33" s="354"/>
      <c r="DY33" s="354"/>
      <c r="DZ33" s="354"/>
      <c r="EA33" s="354"/>
      <c r="EB33" s="354"/>
      <c r="EC33" s="354"/>
      <c r="ED33" s="354"/>
      <c r="EE33" s="354"/>
      <c r="EF33" s="354"/>
      <c r="EG33" s="354"/>
      <c r="EH33" s="354"/>
      <c r="EI33" s="354"/>
      <c r="EJ33" s="354"/>
      <c r="EK33" s="354"/>
      <c r="EL33" s="354"/>
      <c r="EM33" s="354"/>
      <c r="EN33" s="354"/>
      <c r="EO33" s="354"/>
      <c r="EP33" s="354"/>
      <c r="EQ33" s="354"/>
      <c r="ER33" s="354"/>
      <c r="ES33" s="354"/>
      <c r="ET33" s="354"/>
      <c r="EU33" s="354"/>
      <c r="EV33" s="354"/>
      <c r="EW33" s="354"/>
      <c r="EX33" s="354"/>
      <c r="EY33" s="354"/>
    </row>
    <row r="34" spans="1:155" s="1" customFormat="1" ht="26.25" x14ac:dyDescent="0.2">
      <c r="A34" s="1718" t="s">
        <v>1444</v>
      </c>
      <c r="B34" s="1718"/>
      <c r="C34" s="1718"/>
      <c r="D34" s="1718"/>
      <c r="E34" s="1718"/>
      <c r="F34" s="1718"/>
      <c r="G34" s="1718"/>
      <c r="H34" s="1718"/>
      <c r="I34" s="1718"/>
      <c r="J34" s="1718"/>
      <c r="K34" s="1718"/>
      <c r="L34" s="1718"/>
      <c r="M34" s="1718"/>
      <c r="N34" s="1718"/>
      <c r="O34" s="1718"/>
      <c r="P34" s="73"/>
      <c r="Q34" s="1465"/>
      <c r="R34" s="1465"/>
      <c r="S34" s="1465"/>
      <c r="T34" s="1465"/>
      <c r="U34" s="1465"/>
      <c r="V34" s="1465"/>
      <c r="W34" s="1465"/>
      <c r="X34" s="1465"/>
      <c r="Y34" s="1475"/>
      <c r="Z34" s="1475"/>
      <c r="AB34" s="131"/>
      <c r="AC34" s="191"/>
      <c r="AD34" s="191"/>
      <c r="AE34" s="191"/>
      <c r="AF34" s="191"/>
      <c r="AG34" s="191"/>
      <c r="AH34" s="191"/>
      <c r="AI34" s="191"/>
      <c r="AJ34" s="191"/>
      <c r="AK34" s="191"/>
      <c r="AL34" s="191"/>
      <c r="AM34" s="191"/>
      <c r="AN34" s="191"/>
      <c r="AO34" s="191"/>
      <c r="AP34" s="191"/>
      <c r="AQ34" s="191"/>
      <c r="AR34" s="131"/>
      <c r="AS34" s="131"/>
      <c r="AT34" s="131"/>
      <c r="AU34" s="131"/>
      <c r="AV34" s="131"/>
      <c r="AW34" s="131"/>
      <c r="AX34" s="131"/>
      <c r="AY34" s="131"/>
      <c r="AZ34" s="131"/>
      <c r="BA34" s="131"/>
      <c r="BB34" s="131"/>
      <c r="BC34" s="131"/>
      <c r="BD34" s="131"/>
      <c r="BE34" s="131"/>
      <c r="BF34" s="131"/>
      <c r="BG34" s="131"/>
      <c r="BH34" s="131"/>
      <c r="BI34" s="135"/>
      <c r="BJ34" s="135"/>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DQ34" s="354"/>
      <c r="DR34" s="354"/>
      <c r="DS34" s="354"/>
      <c r="DT34" s="354"/>
      <c r="DU34" s="354"/>
      <c r="DV34" s="354"/>
      <c r="DW34" s="354"/>
      <c r="DX34" s="354"/>
      <c r="DY34" s="354"/>
      <c r="DZ34" s="354"/>
      <c r="EA34" s="354"/>
      <c r="EB34" s="354"/>
      <c r="EC34" s="354"/>
      <c r="ED34" s="354"/>
      <c r="EE34" s="354"/>
      <c r="EF34" s="354"/>
      <c r="EG34" s="354"/>
      <c r="EH34" s="354"/>
      <c r="EI34" s="354"/>
      <c r="EJ34" s="354"/>
      <c r="EK34" s="354"/>
      <c r="EL34" s="354"/>
      <c r="EM34" s="354"/>
      <c r="EN34" s="354"/>
      <c r="EO34" s="354"/>
      <c r="EP34" s="354"/>
      <c r="EQ34" s="354"/>
      <c r="ER34" s="354"/>
      <c r="ES34" s="354"/>
      <c r="ET34" s="354"/>
      <c r="EU34" s="354"/>
      <c r="EV34" s="354"/>
      <c r="EW34" s="354"/>
      <c r="EX34" s="354"/>
      <c r="EY34" s="354"/>
    </row>
    <row r="35" spans="1:155" s="1" customFormat="1" ht="12.75" x14ac:dyDescent="0.2">
      <c r="A35" s="1686" t="s">
        <v>1177</v>
      </c>
      <c r="B35" s="1687"/>
      <c r="C35" s="1687"/>
      <c r="D35" s="1701" t="s">
        <v>889</v>
      </c>
      <c r="E35" s="1701"/>
      <c r="F35" s="1701"/>
      <c r="G35" s="1701" t="s">
        <v>901</v>
      </c>
      <c r="H35" s="1701"/>
      <c r="I35" s="1701"/>
      <c r="J35" s="1701" t="s">
        <v>1445</v>
      </c>
      <c r="K35" s="1701"/>
      <c r="L35" s="1701"/>
      <c r="M35" s="1701" t="s">
        <v>1446</v>
      </c>
      <c r="N35" s="1701"/>
      <c r="O35" s="1701"/>
      <c r="P35" s="1701"/>
      <c r="Q35" s="1701"/>
      <c r="R35" s="1701" t="s">
        <v>78</v>
      </c>
      <c r="S35" s="1701"/>
      <c r="T35" s="1480" t="s">
        <v>29</v>
      </c>
      <c r="U35" s="1481"/>
      <c r="V35" s="453"/>
      <c r="W35" s="1756" t="s">
        <v>88</v>
      </c>
      <c r="X35" s="1701"/>
      <c r="Y35" s="1701"/>
      <c r="Z35" s="1757"/>
      <c r="AB35" s="131"/>
      <c r="AC35" s="1782" t="s">
        <v>1443</v>
      </c>
      <c r="AD35" s="1783"/>
      <c r="AE35" s="1783"/>
      <c r="AF35" s="1784"/>
      <c r="AG35" s="191"/>
      <c r="AH35" s="191"/>
      <c r="AI35" s="191"/>
      <c r="AJ35" s="191"/>
      <c r="AK35" s="191"/>
      <c r="AL35" s="191"/>
      <c r="AM35" s="191"/>
      <c r="AN35" s="191"/>
      <c r="AO35" s="191"/>
      <c r="AP35" s="191"/>
      <c r="AQ35" s="191"/>
      <c r="AR35" s="131"/>
      <c r="AS35" s="131"/>
      <c r="AT35" s="131"/>
      <c r="AU35" s="131"/>
      <c r="AV35" s="131"/>
      <c r="AW35" s="131"/>
      <c r="AX35" s="131"/>
      <c r="AY35" s="131"/>
      <c r="AZ35" s="131"/>
      <c r="BA35" s="131"/>
      <c r="BB35" s="131"/>
      <c r="BC35" s="131"/>
      <c r="BD35" s="131"/>
      <c r="BE35" s="131"/>
      <c r="BF35" s="131"/>
      <c r="BG35" s="131"/>
      <c r="BH35" s="131"/>
      <c r="BI35" s="135"/>
      <c r="BJ35" s="135"/>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DQ35" s="354"/>
      <c r="DR35" s="354"/>
      <c r="DS35" s="354"/>
      <c r="DT35" s="354"/>
      <c r="DU35" s="354"/>
      <c r="DV35" s="354"/>
      <c r="DW35" s="354"/>
      <c r="DX35" s="354"/>
      <c r="DY35" s="354"/>
      <c r="DZ35" s="354"/>
      <c r="EA35" s="354"/>
      <c r="EB35" s="354"/>
      <c r="EC35" s="354"/>
      <c r="ED35" s="354"/>
      <c r="EE35" s="354"/>
      <c r="EF35" s="354"/>
      <c r="EG35" s="354"/>
      <c r="EH35" s="354"/>
      <c r="EI35" s="354"/>
      <c r="EJ35" s="354"/>
      <c r="EK35" s="354"/>
      <c r="EL35" s="354"/>
      <c r="EM35" s="354"/>
      <c r="EN35" s="354"/>
      <c r="EO35" s="354"/>
      <c r="EP35" s="354"/>
      <c r="EQ35" s="354"/>
      <c r="ER35" s="354"/>
      <c r="ES35" s="354"/>
      <c r="ET35" s="354"/>
      <c r="EU35" s="354"/>
      <c r="EV35" s="354"/>
      <c r="EW35" s="354"/>
      <c r="EX35" s="354"/>
      <c r="EY35" s="354"/>
    </row>
    <row r="36" spans="1:155" s="1" customFormat="1" ht="18" customHeight="1" x14ac:dyDescent="0.2">
      <c r="A36" s="1768" t="s">
        <v>520</v>
      </c>
      <c r="B36" s="1769"/>
      <c r="C36" s="1769"/>
      <c r="D36" s="1688">
        <f>IFERROR(IF(P22="",+P25+G25,P22+G25),0)</f>
        <v>0</v>
      </c>
      <c r="E36" s="1688"/>
      <c r="F36" s="1688"/>
      <c r="G36" s="1688" t="s">
        <v>389</v>
      </c>
      <c r="H36" s="1688"/>
      <c r="I36" s="1688"/>
      <c r="J36" s="1688" t="s">
        <v>381</v>
      </c>
      <c r="K36" s="1688"/>
      <c r="L36" s="1688"/>
      <c r="M36" s="1688" t="s">
        <v>989</v>
      </c>
      <c r="N36" s="1688"/>
      <c r="O36" s="1688"/>
      <c r="P36" s="1688"/>
      <c r="Q36" s="1688"/>
      <c r="R36" s="1770">
        <f>+$K$31</f>
        <v>30</v>
      </c>
      <c r="S36" s="1770"/>
      <c r="T36" s="1771">
        <f>+E30</f>
        <v>0.04</v>
      </c>
      <c r="U36" s="1772"/>
      <c r="V36" s="453"/>
      <c r="W36" s="1764">
        <f>IF(M36="Interest Only",+D36*T36/12,PMT(T36/12,+R36*12,-D36))</f>
        <v>0</v>
      </c>
      <c r="X36" s="1765"/>
      <c r="Y36" s="1765"/>
      <c r="Z36" s="1362" t="s">
        <v>69</v>
      </c>
      <c r="AB36" s="131"/>
      <c r="AC36" s="1488" t="str">
        <f>IF(D36&gt;0,CONCATENATE(+AG36,"k ",AK36," ",AO36," ",AQ36," ",AW22,AX22),"")</f>
        <v/>
      </c>
      <c r="AD36" s="1489"/>
      <c r="AE36" s="1489"/>
      <c r="AF36" s="1490"/>
      <c r="AG36" s="1491" t="str">
        <f>TEXT(D36/1000,"$#,###")</f>
        <v>$</v>
      </c>
      <c r="AH36" s="191"/>
      <c r="AI36" s="191"/>
      <c r="AJ36" s="191"/>
      <c r="AK36" s="1492" t="str">
        <f>+J36</f>
        <v>Variable</v>
      </c>
      <c r="AL36" s="191"/>
      <c r="AM36" s="191"/>
      <c r="AN36" s="191"/>
      <c r="AO36" s="1493" t="str">
        <f>IF(G36="Personal", "Personal","Invest")</f>
        <v>Personal</v>
      </c>
      <c r="AP36" s="191"/>
      <c r="AQ36" s="1493" t="str">
        <f>IF(M36="Interest Only","IO","P&amp;I")</f>
        <v>IO</v>
      </c>
      <c r="AR36" s="131"/>
      <c r="AS36" s="131"/>
      <c r="AT36" s="131"/>
      <c r="AU36" s="131"/>
      <c r="AV36" s="131"/>
      <c r="AW36" s="131"/>
      <c r="AX36" s="131"/>
      <c r="AY36" s="131"/>
      <c r="AZ36" s="131"/>
      <c r="BA36" s="131"/>
      <c r="BB36" s="131"/>
      <c r="BC36" s="131"/>
      <c r="BD36" s="131"/>
      <c r="BE36" s="131"/>
      <c r="BF36" s="131"/>
      <c r="BG36" s="131"/>
      <c r="BH36" s="131"/>
      <c r="BI36" s="135"/>
      <c r="BJ36" s="135"/>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DQ36" s="354"/>
      <c r="DR36" s="354"/>
      <c r="DS36" s="354"/>
      <c r="DT36" s="354"/>
      <c r="DU36" s="354"/>
      <c r="DV36" s="354"/>
      <c r="DW36" s="354"/>
      <c r="DX36" s="354"/>
      <c r="DY36" s="354"/>
      <c r="DZ36" s="354"/>
      <c r="EA36" s="354"/>
      <c r="EB36" s="354"/>
      <c r="EC36" s="354"/>
      <c r="ED36" s="354"/>
      <c r="EE36" s="354"/>
      <c r="EF36" s="354"/>
      <c r="EG36" s="354"/>
      <c r="EH36" s="354"/>
      <c r="EI36" s="354"/>
      <c r="EJ36" s="354"/>
      <c r="EK36" s="354"/>
      <c r="EL36" s="354"/>
      <c r="EM36" s="354"/>
      <c r="EN36" s="354"/>
      <c r="EO36" s="354"/>
      <c r="EP36" s="354"/>
      <c r="EQ36" s="354"/>
      <c r="ER36" s="354"/>
      <c r="ES36" s="354"/>
      <c r="ET36" s="354"/>
      <c r="EU36" s="354"/>
      <c r="EV36" s="354"/>
      <c r="EW36" s="354"/>
      <c r="EX36" s="354"/>
      <c r="EY36" s="354"/>
    </row>
    <row r="37" spans="1:155" s="1" customFormat="1" ht="18" customHeight="1" x14ac:dyDescent="0.2">
      <c r="A37" s="1773" t="s">
        <v>521</v>
      </c>
      <c r="B37" s="1774"/>
      <c r="C37" s="1774"/>
      <c r="D37" s="1685" t="str">
        <f>IF(+P23="","",P23)</f>
        <v/>
      </c>
      <c r="E37" s="1685"/>
      <c r="F37" s="1685"/>
      <c r="G37" s="1685" t="s">
        <v>440</v>
      </c>
      <c r="H37" s="1685"/>
      <c r="I37" s="1685"/>
      <c r="J37" s="1685" t="s">
        <v>1452</v>
      </c>
      <c r="K37" s="1685"/>
      <c r="L37" s="1685"/>
      <c r="M37" s="1685" t="s">
        <v>1399</v>
      </c>
      <c r="N37" s="1685"/>
      <c r="O37" s="1685"/>
      <c r="P37" s="1685"/>
      <c r="Q37" s="1685"/>
      <c r="R37" s="1703">
        <v>30</v>
      </c>
      <c r="S37" s="1703"/>
      <c r="T37" s="1704">
        <v>4.4999999999999998E-2</v>
      </c>
      <c r="U37" s="1705"/>
      <c r="V37" s="453"/>
      <c r="W37" s="1775" t="str">
        <f>IF(D37="","",IF(M37="Interest Only",+D37*T37/12,PMT(T37/12,+R37*12,-D37)))</f>
        <v/>
      </c>
      <c r="X37" s="1776"/>
      <c r="Y37" s="1776"/>
      <c r="Z37" s="1479" t="s">
        <v>69</v>
      </c>
      <c r="AB37" s="131"/>
      <c r="AC37" s="1494" t="e">
        <f>IF(D37&gt;0,CONCATENATE(+AG37,"k ",AK37," ",AO37," ",AQ37," ",AW23,AX23),"")</f>
        <v>#VALUE!</v>
      </c>
      <c r="AD37" s="1495"/>
      <c r="AE37" s="1495"/>
      <c r="AF37" s="1496"/>
      <c r="AG37" s="1491" t="e">
        <f>TEXT(D37/1000,"$#,###")</f>
        <v>#VALUE!</v>
      </c>
      <c r="AH37" s="191"/>
      <c r="AI37" s="191"/>
      <c r="AJ37" s="191"/>
      <c r="AK37" s="1492" t="str">
        <f t="shared" ref="AK37:AK38" si="5">+J37</f>
        <v>5 yrs Fixed</v>
      </c>
      <c r="AL37" s="191"/>
      <c r="AM37" s="191"/>
      <c r="AN37" s="191"/>
      <c r="AO37" s="1493" t="str">
        <f t="shared" ref="AO37:AO38" si="6">IF(G37="Personal", "Personal","Invest")</f>
        <v>Invest</v>
      </c>
      <c r="AP37" s="191"/>
      <c r="AQ37" s="1493" t="str">
        <f t="shared" ref="AQ37:AQ38" si="7">IF(M37="Interest Only","IO","P&amp;I")</f>
        <v>P&amp;I</v>
      </c>
      <c r="AR37" s="131"/>
      <c r="AS37" s="131"/>
      <c r="AT37" s="131"/>
      <c r="AU37" s="131"/>
      <c r="AV37" s="131"/>
      <c r="AW37" s="131"/>
      <c r="AX37" s="131"/>
      <c r="AY37" s="131"/>
      <c r="AZ37" s="131"/>
      <c r="BA37" s="131"/>
      <c r="BB37" s="131"/>
      <c r="BC37" s="131"/>
      <c r="BD37" s="131"/>
      <c r="BE37" s="131"/>
      <c r="BF37" s="131"/>
      <c r="BG37" s="131"/>
      <c r="BH37" s="131"/>
      <c r="BI37" s="135"/>
      <c r="BJ37" s="135"/>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DQ37" s="354"/>
      <c r="DR37" s="354"/>
      <c r="DS37" s="354"/>
      <c r="DT37" s="354"/>
      <c r="DU37" s="354"/>
      <c r="DV37" s="354"/>
      <c r="DW37" s="354"/>
      <c r="DX37" s="354"/>
      <c r="DY37" s="354"/>
      <c r="DZ37" s="354"/>
      <c r="EA37" s="354"/>
      <c r="EB37" s="354"/>
      <c r="EC37" s="354"/>
      <c r="ED37" s="354"/>
      <c r="EE37" s="354"/>
      <c r="EF37" s="354"/>
      <c r="EG37" s="354"/>
      <c r="EH37" s="354"/>
      <c r="EI37" s="354"/>
      <c r="EJ37" s="354"/>
      <c r="EK37" s="354"/>
      <c r="EL37" s="354"/>
      <c r="EM37" s="354"/>
      <c r="EN37" s="354"/>
      <c r="EO37" s="354"/>
      <c r="EP37" s="354"/>
      <c r="EQ37" s="354"/>
      <c r="ER37" s="354"/>
      <c r="ES37" s="354"/>
      <c r="ET37" s="354"/>
      <c r="EU37" s="354"/>
      <c r="EV37" s="354"/>
      <c r="EW37" s="354"/>
      <c r="EX37" s="354"/>
      <c r="EY37" s="354"/>
    </row>
    <row r="38" spans="1:155" s="1" customFormat="1" ht="18" customHeight="1" x14ac:dyDescent="0.2">
      <c r="A38" s="1759" t="s">
        <v>522</v>
      </c>
      <c r="B38" s="1760"/>
      <c r="C38" s="1760"/>
      <c r="D38" s="1700" t="str">
        <f>IF(+P24="","",P24)</f>
        <v/>
      </c>
      <c r="E38" s="1700"/>
      <c r="F38" s="1700"/>
      <c r="G38" s="1700" t="s">
        <v>389</v>
      </c>
      <c r="H38" s="1700"/>
      <c r="I38" s="1700"/>
      <c r="J38" s="1700" t="s">
        <v>381</v>
      </c>
      <c r="K38" s="1700"/>
      <c r="L38" s="1700"/>
      <c r="M38" s="1702" t="s">
        <v>989</v>
      </c>
      <c r="N38" s="1702"/>
      <c r="O38" s="1702"/>
      <c r="P38" s="1702"/>
      <c r="Q38" s="1702"/>
      <c r="R38" s="1761">
        <v>30</v>
      </c>
      <c r="S38" s="1761"/>
      <c r="T38" s="1762">
        <v>0.04</v>
      </c>
      <c r="U38" s="1763"/>
      <c r="V38" s="453"/>
      <c r="W38" s="1764" t="str">
        <f>IF(D38="","",IF(M38="Interest Only",+D38*T38/12,PMT(T38/12,+R38*12,-D38)))</f>
        <v/>
      </c>
      <c r="X38" s="1765"/>
      <c r="Y38" s="1765"/>
      <c r="Z38" s="1362" t="s">
        <v>69</v>
      </c>
      <c r="AB38" s="131"/>
      <c r="AC38" s="1497" t="e">
        <f>IF(D38&gt;0,CONCATENATE(+AG38,"k ",AK38," ",AO38," ",AQ38," ",AW24,AX24),"")</f>
        <v>#VALUE!</v>
      </c>
      <c r="AD38" s="1498"/>
      <c r="AE38" s="1498"/>
      <c r="AF38" s="1499"/>
      <c r="AG38" s="1491" t="e">
        <f>TEXT(D38/1000,"$#,###")</f>
        <v>#VALUE!</v>
      </c>
      <c r="AH38" s="191"/>
      <c r="AI38" s="191"/>
      <c r="AJ38" s="191"/>
      <c r="AK38" s="1492" t="str">
        <f t="shared" si="5"/>
        <v>Variable</v>
      </c>
      <c r="AL38" s="191"/>
      <c r="AM38" s="191"/>
      <c r="AN38" s="191"/>
      <c r="AO38" s="1493" t="str">
        <f t="shared" si="6"/>
        <v>Personal</v>
      </c>
      <c r="AP38" s="191"/>
      <c r="AQ38" s="1493" t="str">
        <f t="shared" si="7"/>
        <v>IO</v>
      </c>
      <c r="AR38" s="131"/>
      <c r="AS38" s="131"/>
      <c r="AT38" s="131"/>
      <c r="AU38" s="135"/>
      <c r="AV38" s="135"/>
      <c r="AW38" s="135"/>
      <c r="AX38" s="135"/>
      <c r="AY38" s="135"/>
      <c r="AZ38" s="135"/>
      <c r="BA38" s="135"/>
      <c r="BB38" s="135"/>
      <c r="BC38" s="135"/>
      <c r="BD38" s="135"/>
      <c r="BE38" s="135"/>
      <c r="BF38" s="135"/>
      <c r="BG38" s="135"/>
      <c r="BH38" s="135"/>
      <c r="BI38" s="135"/>
      <c r="BJ38" s="135"/>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DQ38" s="354"/>
      <c r="DR38" s="354"/>
      <c r="DS38" s="354"/>
      <c r="DT38" s="354"/>
      <c r="DU38" s="354"/>
      <c r="DV38" s="354"/>
      <c r="DW38" s="354"/>
      <c r="DX38" s="354"/>
      <c r="DY38" s="354"/>
      <c r="DZ38" s="354"/>
      <c r="EA38" s="354"/>
      <c r="EB38" s="354"/>
      <c r="EC38" s="354"/>
      <c r="ED38" s="354"/>
      <c r="EE38" s="354"/>
      <c r="EF38" s="354"/>
      <c r="EG38" s="354"/>
      <c r="EH38" s="354"/>
      <c r="EI38" s="354"/>
      <c r="EJ38" s="354"/>
      <c r="EK38" s="354"/>
      <c r="EL38" s="354"/>
      <c r="EM38" s="354"/>
      <c r="EN38" s="354"/>
      <c r="EO38" s="354"/>
      <c r="EP38" s="354"/>
      <c r="EQ38" s="354"/>
      <c r="ER38" s="354"/>
      <c r="ES38" s="354"/>
      <c r="ET38" s="354"/>
      <c r="EU38" s="354"/>
      <c r="EV38" s="354"/>
      <c r="EW38" s="354"/>
      <c r="EX38" s="354"/>
      <c r="EY38" s="354"/>
    </row>
    <row r="39" spans="1:155" s="1" customFormat="1" ht="18" customHeight="1" x14ac:dyDescent="0.25">
      <c r="A39" s="1766" t="s">
        <v>31</v>
      </c>
      <c r="B39" s="1767"/>
      <c r="C39" s="1767"/>
      <c r="D39" s="1693">
        <f>SUM(D36:D38)</f>
        <v>0</v>
      </c>
      <c r="E39" s="1693"/>
      <c r="F39" s="1693"/>
      <c r="G39" s="1693"/>
      <c r="H39" s="1693"/>
      <c r="I39" s="1693"/>
      <c r="J39" s="1693"/>
      <c r="K39" s="1693"/>
      <c r="L39" s="1693"/>
      <c r="M39" s="1693"/>
      <c r="N39" s="1693"/>
      <c r="O39" s="1693"/>
      <c r="P39" s="1693"/>
      <c r="Q39" s="1693"/>
      <c r="R39" s="1758" t="s">
        <v>366</v>
      </c>
      <c r="S39" s="1758"/>
      <c r="T39" s="1752"/>
      <c r="U39" s="1753"/>
      <c r="V39" s="453"/>
      <c r="W39" s="1754">
        <f>SUM(W36:W38)</f>
        <v>0</v>
      </c>
      <c r="X39" s="1755"/>
      <c r="Y39" s="1755"/>
      <c r="Z39" s="1482" t="s">
        <v>69</v>
      </c>
      <c r="AB39" s="131"/>
      <c r="AC39" s="191"/>
      <c r="AD39" s="191"/>
      <c r="AE39" s="191"/>
      <c r="AF39" s="191"/>
      <c r="AG39" s="191"/>
      <c r="AH39" s="191"/>
      <c r="AI39" s="191"/>
      <c r="AJ39" s="191"/>
      <c r="AK39" s="191"/>
      <c r="AL39" s="191"/>
      <c r="AM39" s="191"/>
      <c r="AN39" s="191"/>
      <c r="AO39" s="191"/>
      <c r="AP39" s="191"/>
      <c r="AQ39" s="191"/>
      <c r="AR39" s="131"/>
      <c r="AS39" s="131"/>
      <c r="AT39" s="131"/>
      <c r="AU39" s="135"/>
      <c r="AV39" s="135"/>
      <c r="AW39" s="135"/>
      <c r="AX39" s="135"/>
      <c r="AY39" s="135"/>
      <c r="AZ39" s="135"/>
      <c r="BA39" s="135"/>
      <c r="BB39" s="135"/>
      <c r="BC39" s="135"/>
      <c r="BD39" s="135"/>
      <c r="BE39" s="135"/>
      <c r="BF39" s="135"/>
      <c r="BG39" s="135"/>
      <c r="BH39" s="135"/>
      <c r="BI39" s="135"/>
      <c r="BJ39" s="135"/>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DQ39" s="354"/>
      <c r="DR39" s="354"/>
      <c r="DS39" s="354"/>
      <c r="DT39" s="354"/>
      <c r="DU39" s="354"/>
      <c r="DV39" s="354"/>
      <c r="DW39" s="354"/>
      <c r="DX39" s="354"/>
      <c r="DY39" s="354"/>
      <c r="DZ39" s="354"/>
      <c r="EA39" s="354"/>
      <c r="EB39" s="354"/>
      <c r="EC39" s="354"/>
      <c r="ED39" s="354"/>
      <c r="EE39" s="354"/>
      <c r="EF39" s="354"/>
      <c r="EG39" s="354"/>
      <c r="EH39" s="354"/>
      <c r="EI39" s="354"/>
      <c r="EJ39" s="354"/>
      <c r="EK39" s="354"/>
      <c r="EL39" s="354"/>
      <c r="EM39" s="354"/>
      <c r="EN39" s="354"/>
      <c r="EO39" s="354"/>
      <c r="EP39" s="354"/>
      <c r="EQ39" s="354"/>
      <c r="ER39" s="354"/>
      <c r="ES39" s="354"/>
      <c r="ET39" s="354"/>
      <c r="EU39" s="354"/>
      <c r="EV39" s="354"/>
      <c r="EW39" s="354"/>
      <c r="EX39" s="354"/>
      <c r="EY39" s="354"/>
    </row>
    <row r="40" spans="1:155" s="1" customFormat="1" ht="18" customHeight="1" x14ac:dyDescent="0.25">
      <c r="A40" s="112"/>
      <c r="B40" s="112"/>
      <c r="C40" s="112"/>
      <c r="D40" s="1476"/>
      <c r="E40" s="1476"/>
      <c r="F40" s="1476"/>
      <c r="G40" s="1476"/>
      <c r="H40" s="1476"/>
      <c r="I40" s="1476"/>
      <c r="J40" s="1476"/>
      <c r="K40" s="1476"/>
      <c r="L40" s="1476"/>
      <c r="M40" s="1476"/>
      <c r="N40" s="1476"/>
      <c r="O40" s="1476"/>
      <c r="P40" s="1476"/>
      <c r="Q40" s="1476"/>
      <c r="R40" s="1476"/>
      <c r="S40" s="1476"/>
      <c r="T40" s="1476"/>
      <c r="U40" s="1476"/>
      <c r="AB40" s="131"/>
      <c r="AC40" s="131"/>
      <c r="AD40" s="131"/>
      <c r="AE40" s="131"/>
      <c r="AF40" s="131"/>
      <c r="AG40" s="129"/>
      <c r="AH40" s="131"/>
      <c r="AI40" s="131"/>
      <c r="AJ40" s="131"/>
      <c r="AK40" s="131"/>
      <c r="AL40" s="131"/>
      <c r="AM40" s="131"/>
      <c r="AN40" s="131"/>
      <c r="AO40" s="131"/>
      <c r="AP40" s="131"/>
      <c r="AQ40" s="131"/>
      <c r="AR40" s="131"/>
      <c r="AS40" s="131"/>
      <c r="AT40" s="135"/>
      <c r="AU40" s="135"/>
      <c r="AV40" s="135"/>
      <c r="AW40" s="135"/>
      <c r="AX40" s="135"/>
      <c r="AY40" s="135"/>
      <c r="AZ40" s="135"/>
      <c r="BA40" s="135"/>
      <c r="BB40" s="135"/>
      <c r="BC40" s="135"/>
      <c r="BD40" s="135"/>
      <c r="BE40" s="135"/>
      <c r="BF40" s="135"/>
      <c r="BG40" s="135"/>
      <c r="BH40" s="135"/>
      <c r="BI40" s="135"/>
      <c r="BJ40" s="135"/>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DQ40" s="354"/>
      <c r="DR40" s="354"/>
      <c r="DS40" s="354"/>
      <c r="DT40" s="354"/>
      <c r="DU40" s="354"/>
      <c r="DV40" s="354"/>
      <c r="DW40" s="354"/>
      <c r="DX40" s="354"/>
      <c r="DY40" s="354"/>
      <c r="DZ40" s="354"/>
      <c r="EA40" s="354"/>
      <c r="EB40" s="354"/>
      <c r="EC40" s="354"/>
      <c r="ED40" s="354"/>
      <c r="EE40" s="354"/>
      <c r="EF40" s="354"/>
      <c r="EG40" s="354"/>
      <c r="EH40" s="354"/>
      <c r="EI40" s="354"/>
      <c r="EJ40" s="354"/>
      <c r="EK40" s="354"/>
      <c r="EL40" s="354"/>
      <c r="EM40" s="354"/>
      <c r="EN40" s="354"/>
      <c r="EO40" s="354"/>
      <c r="EP40" s="354"/>
      <c r="EQ40" s="354"/>
      <c r="ER40" s="354"/>
      <c r="ES40" s="354"/>
      <c r="ET40" s="354"/>
      <c r="EU40" s="354"/>
      <c r="EV40" s="354"/>
      <c r="EW40" s="354"/>
      <c r="EX40" s="354"/>
      <c r="EY40" s="354"/>
    </row>
    <row r="41" spans="1:155" s="1" customFormat="1" ht="18" customHeight="1" x14ac:dyDescent="0.25">
      <c r="A41" s="21"/>
      <c r="B41" s="21"/>
      <c r="C41" s="21"/>
      <c r="D41" s="21"/>
      <c r="E41" s="21"/>
      <c r="F41" s="21"/>
      <c r="G41" s="21"/>
      <c r="H41" s="21"/>
      <c r="I41" s="21"/>
      <c r="J41" s="21"/>
      <c r="K41" s="21"/>
      <c r="L41" s="21"/>
      <c r="M41" s="21"/>
      <c r="N41" s="21"/>
      <c r="O41" s="21"/>
      <c r="P41" s="21"/>
      <c r="Q41" s="21"/>
      <c r="R41" s="21"/>
      <c r="S41" s="21"/>
      <c r="T41" s="21"/>
      <c r="U41" s="21"/>
      <c r="AA41" s="21"/>
      <c r="AB41" s="129"/>
      <c r="AC41" s="129"/>
      <c r="AD41" s="129"/>
      <c r="AE41" s="129"/>
      <c r="AF41" s="129"/>
      <c r="AG41" s="129"/>
      <c r="AH41" s="131"/>
      <c r="AI41" s="131"/>
      <c r="AJ41" s="131"/>
      <c r="AK41" s="131"/>
      <c r="AL41" s="131"/>
      <c r="AM41" s="131"/>
      <c r="AN41" s="131"/>
      <c r="AO41" s="131"/>
      <c r="AP41" s="131"/>
      <c r="AQ41" s="131"/>
      <c r="AR41" s="131"/>
      <c r="AS41" s="131"/>
      <c r="AT41" s="135"/>
      <c r="AU41" s="135"/>
      <c r="AV41" s="135"/>
      <c r="AW41" s="135"/>
      <c r="AX41" s="135"/>
      <c r="AY41" s="135"/>
      <c r="AZ41" s="135"/>
      <c r="BA41" s="135"/>
      <c r="BB41" s="135"/>
      <c r="BC41" s="135"/>
      <c r="BD41" s="135"/>
      <c r="BE41" s="135"/>
      <c r="BF41" s="135"/>
      <c r="BG41" s="135"/>
      <c r="BH41" s="135"/>
      <c r="BI41" s="135"/>
      <c r="BJ41" s="135"/>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DQ41" s="354"/>
      <c r="DR41" s="354"/>
      <c r="DS41" s="354"/>
      <c r="DT41" s="354"/>
      <c r="DU41" s="354"/>
      <c r="DV41" s="354"/>
      <c r="DW41" s="354"/>
      <c r="DX41" s="354"/>
      <c r="DY41" s="354"/>
      <c r="DZ41" s="354"/>
      <c r="EA41" s="354"/>
      <c r="EB41" s="354"/>
      <c r="EC41" s="354"/>
      <c r="ED41" s="354"/>
      <c r="EE41" s="354"/>
      <c r="EF41" s="354"/>
      <c r="EG41" s="354"/>
      <c r="EH41" s="354"/>
      <c r="EI41" s="354"/>
      <c r="EJ41" s="354"/>
      <c r="EK41" s="354"/>
      <c r="EL41" s="354"/>
      <c r="EM41" s="354"/>
      <c r="EN41" s="354"/>
      <c r="EO41" s="354"/>
      <c r="EP41" s="354"/>
      <c r="EQ41" s="354"/>
      <c r="ER41" s="354"/>
      <c r="ES41" s="354"/>
      <c r="ET41" s="354"/>
      <c r="EU41" s="354"/>
      <c r="EV41" s="354"/>
      <c r="EW41" s="354"/>
      <c r="EX41" s="354"/>
      <c r="EY41" s="354"/>
    </row>
    <row r="42" spans="1:155" ht="18" customHeight="1" x14ac:dyDescent="0.25">
      <c r="P42" s="21"/>
      <c r="AH42" s="153"/>
      <c r="AI42" s="153"/>
      <c r="AJ42" s="153"/>
      <c r="AK42" s="153"/>
      <c r="AL42" s="153"/>
      <c r="AM42" s="131"/>
      <c r="AN42" s="131"/>
      <c r="AO42" s="131"/>
      <c r="AP42" s="131"/>
      <c r="AQ42" s="131"/>
      <c r="AR42" s="131"/>
      <c r="AS42" s="131"/>
      <c r="AT42" s="135"/>
      <c r="CI42" s="1"/>
      <c r="CJ42" s="1"/>
    </row>
    <row r="43" spans="1:155" ht="18" customHeight="1" x14ac:dyDescent="0.25">
      <c r="P43" s="21"/>
      <c r="AM43" s="153"/>
      <c r="AN43" s="153"/>
      <c r="AO43" s="153"/>
      <c r="AP43" s="153"/>
      <c r="AQ43" s="153"/>
      <c r="AR43" s="131"/>
      <c r="AS43" s="131"/>
      <c r="AT43" s="135"/>
    </row>
    <row r="44" spans="1:155" ht="18" customHeight="1" x14ac:dyDescent="0.25">
      <c r="P44" s="21"/>
      <c r="AR44" s="153"/>
      <c r="AS44" s="153"/>
    </row>
    <row r="45" spans="1:155" ht="18.75" customHeight="1" x14ac:dyDescent="0.25">
      <c r="P45" s="21"/>
    </row>
    <row r="46" spans="1:155" ht="18.75" customHeight="1" x14ac:dyDescent="0.25">
      <c r="I46" s="1478"/>
      <c r="J46" s="1478"/>
      <c r="K46" s="1478"/>
      <c r="L46" s="1478"/>
      <c r="M46" s="1478"/>
      <c r="N46" s="1478"/>
      <c r="O46" s="1478"/>
      <c r="P46" s="166"/>
      <c r="Q46" s="1478"/>
      <c r="R46" s="1478"/>
      <c r="S46" s="1478"/>
      <c r="T46" s="1478"/>
      <c r="U46" s="1478"/>
    </row>
  </sheetData>
  <mergeCells count="174">
    <mergeCell ref="W37:Y37"/>
    <mergeCell ref="AC29:AD29"/>
    <mergeCell ref="AC24:AE24"/>
    <mergeCell ref="AC11:AD11"/>
    <mergeCell ref="AC35:AF35"/>
    <mergeCell ref="A34:O34"/>
    <mergeCell ref="G35:I35"/>
    <mergeCell ref="G36:I36"/>
    <mergeCell ref="A26:F26"/>
    <mergeCell ref="G26:I26"/>
    <mergeCell ref="M31:O31"/>
    <mergeCell ref="P26:R26"/>
    <mergeCell ref="P27:R27"/>
    <mergeCell ref="G30:J30"/>
    <mergeCell ref="A29:I29"/>
    <mergeCell ref="A24:F24"/>
    <mergeCell ref="G24:I24"/>
    <mergeCell ref="T24:Z24"/>
    <mergeCell ref="G25:I25"/>
    <mergeCell ref="A30:D30"/>
    <mergeCell ref="G31:J31"/>
    <mergeCell ref="X25:Z25"/>
    <mergeCell ref="X26:Z26"/>
    <mergeCell ref="T11:Z11"/>
    <mergeCell ref="A16:F16"/>
    <mergeCell ref="A21:F21"/>
    <mergeCell ref="K20:O20"/>
    <mergeCell ref="G17:I17"/>
    <mergeCell ref="A10:I10"/>
    <mergeCell ref="T39:U39"/>
    <mergeCell ref="M35:Q35"/>
    <mergeCell ref="W39:Y39"/>
    <mergeCell ref="R35:S35"/>
    <mergeCell ref="W35:Z35"/>
    <mergeCell ref="R39:S39"/>
    <mergeCell ref="A38:C38"/>
    <mergeCell ref="D38:F38"/>
    <mergeCell ref="R38:S38"/>
    <mergeCell ref="T38:U38"/>
    <mergeCell ref="W38:Y38"/>
    <mergeCell ref="A39:C39"/>
    <mergeCell ref="D39:F39"/>
    <mergeCell ref="A36:C36"/>
    <mergeCell ref="D36:F36"/>
    <mergeCell ref="R36:S36"/>
    <mergeCell ref="T36:U36"/>
    <mergeCell ref="W36:Y36"/>
    <mergeCell ref="A37:C37"/>
    <mergeCell ref="X7:Y7"/>
    <mergeCell ref="T7:W7"/>
    <mergeCell ref="P18:R18"/>
    <mergeCell ref="P19:R19"/>
    <mergeCell ref="T16:Z16"/>
    <mergeCell ref="X18:Z18"/>
    <mergeCell ref="T19:W19"/>
    <mergeCell ref="X19:Z19"/>
    <mergeCell ref="T17:Z17"/>
    <mergeCell ref="T13:Z13"/>
    <mergeCell ref="T14:Z14"/>
    <mergeCell ref="T15:Z15"/>
    <mergeCell ref="T18:W18"/>
    <mergeCell ref="T12:Z12"/>
    <mergeCell ref="P13:R13"/>
    <mergeCell ref="P14:R14"/>
    <mergeCell ref="P16:R16"/>
    <mergeCell ref="P17:R17"/>
    <mergeCell ref="T10:Z10"/>
    <mergeCell ref="T8:W8"/>
    <mergeCell ref="P11:R11"/>
    <mergeCell ref="J7:O7"/>
    <mergeCell ref="P7:R7"/>
    <mergeCell ref="A7:I7"/>
    <mergeCell ref="G22:I22"/>
    <mergeCell ref="K11:O11"/>
    <mergeCell ref="G11:I11"/>
    <mergeCell ref="A14:F14"/>
    <mergeCell ref="A15:F15"/>
    <mergeCell ref="P12:R12"/>
    <mergeCell ref="E12:F12"/>
    <mergeCell ref="K14:O14"/>
    <mergeCell ref="P15:R15"/>
    <mergeCell ref="G12:I12"/>
    <mergeCell ref="G14:I14"/>
    <mergeCell ref="A11:E11"/>
    <mergeCell ref="A12:D12"/>
    <mergeCell ref="A18:F18"/>
    <mergeCell ref="G21:I21"/>
    <mergeCell ref="K13:O13"/>
    <mergeCell ref="A13:F13"/>
    <mergeCell ref="G19:I19"/>
    <mergeCell ref="G20:I20"/>
    <mergeCell ref="A17:F17"/>
    <mergeCell ref="G13:I13"/>
    <mergeCell ref="A1:O1"/>
    <mergeCell ref="A6:Y6"/>
    <mergeCell ref="S1:Z1"/>
    <mergeCell ref="A3:E3"/>
    <mergeCell ref="A4:E4"/>
    <mergeCell ref="G4:I4"/>
    <mergeCell ref="R3:T3"/>
    <mergeCell ref="R4:T4"/>
    <mergeCell ref="G3:Q3"/>
    <mergeCell ref="U4:Y4"/>
    <mergeCell ref="U3:Z3"/>
    <mergeCell ref="A2:Z2"/>
    <mergeCell ref="A23:F23"/>
    <mergeCell ref="K24:O24"/>
    <mergeCell ref="A25:F25"/>
    <mergeCell ref="P25:R25"/>
    <mergeCell ref="E30:F30"/>
    <mergeCell ref="K23:O23"/>
    <mergeCell ref="G23:I23"/>
    <mergeCell ref="P23:R23"/>
    <mergeCell ref="AS8:AS9"/>
    <mergeCell ref="A8:R8"/>
    <mergeCell ref="X8:Y8"/>
    <mergeCell ref="G15:I15"/>
    <mergeCell ref="G16:I16"/>
    <mergeCell ref="A22:F22"/>
    <mergeCell ref="K10:R10"/>
    <mergeCell ref="K12:O12"/>
    <mergeCell ref="K18:O18"/>
    <mergeCell ref="K15:O15"/>
    <mergeCell ref="K16:O16"/>
    <mergeCell ref="K17:O17"/>
    <mergeCell ref="A20:F20"/>
    <mergeCell ref="A19:F19"/>
    <mergeCell ref="K19:O19"/>
    <mergeCell ref="G18:I18"/>
    <mergeCell ref="M37:Q37"/>
    <mergeCell ref="A35:C35"/>
    <mergeCell ref="M36:Q36"/>
    <mergeCell ref="X33:Z33"/>
    <mergeCell ref="X32:Z32"/>
    <mergeCell ref="T26:W26"/>
    <mergeCell ref="M39:Q39"/>
    <mergeCell ref="A33:D33"/>
    <mergeCell ref="E33:F33"/>
    <mergeCell ref="P32:R32"/>
    <mergeCell ref="P33:R33"/>
    <mergeCell ref="G37:I37"/>
    <mergeCell ref="G38:I38"/>
    <mergeCell ref="G39:I39"/>
    <mergeCell ref="J35:L35"/>
    <mergeCell ref="J36:L36"/>
    <mergeCell ref="J37:L37"/>
    <mergeCell ref="J38:L38"/>
    <mergeCell ref="J39:L39"/>
    <mergeCell ref="D35:F35"/>
    <mergeCell ref="M38:Q38"/>
    <mergeCell ref="D37:F37"/>
    <mergeCell ref="R37:S37"/>
    <mergeCell ref="T37:U37"/>
    <mergeCell ref="T20:Z20"/>
    <mergeCell ref="K22:O22"/>
    <mergeCell ref="X30:Y30"/>
    <mergeCell ref="X31:Y31"/>
    <mergeCell ref="M30:O30"/>
    <mergeCell ref="T25:W25"/>
    <mergeCell ref="X27:Z27"/>
    <mergeCell ref="P30:Q30"/>
    <mergeCell ref="U31:W31"/>
    <mergeCell ref="K26:O26"/>
    <mergeCell ref="K27:O27"/>
    <mergeCell ref="U30:W30"/>
    <mergeCell ref="P31:Q31"/>
    <mergeCell ref="T27:W27"/>
    <mergeCell ref="T23:Z23"/>
    <mergeCell ref="T22:Z22"/>
    <mergeCell ref="K21:O21"/>
    <mergeCell ref="P20:R20"/>
    <mergeCell ref="P22:R22"/>
    <mergeCell ref="P24:R24"/>
    <mergeCell ref="K25:O25"/>
  </mergeCells>
  <conditionalFormatting sqref="T25:Z27 T29:Z29 T32:Z33 U30:U31 X30:Z31">
    <cfRule type="expression" dxfId="164" priority="24">
      <formula>$G$25=""</formula>
    </cfRule>
  </conditionalFormatting>
  <conditionalFormatting sqref="K23">
    <cfRule type="expression" dxfId="163" priority="22">
      <formula>$P$23=""</formula>
    </cfRule>
  </conditionalFormatting>
  <conditionalFormatting sqref="K24">
    <cfRule type="expression" dxfId="162" priority="21">
      <formula>$P$24=""</formula>
    </cfRule>
  </conditionalFormatting>
  <conditionalFormatting sqref="A33:F33">
    <cfRule type="expression" dxfId="161" priority="357">
      <formula>$AF$22=0</formula>
    </cfRule>
  </conditionalFormatting>
  <conditionalFormatting sqref="Z8 X8 T7:T8">
    <cfRule type="expression" dxfId="160" priority="10">
      <formula>$G$12="Invest"</formula>
    </cfRule>
  </conditionalFormatting>
  <conditionalFormatting sqref="T7:Y7">
    <cfRule type="expression" dxfId="159" priority="9">
      <formula>$G$12="Invest"</formula>
    </cfRule>
  </conditionalFormatting>
  <conditionalFormatting sqref="AC14:AC20">
    <cfRule type="expression" dxfId="158" priority="8">
      <formula>$G$12="Invest"</formula>
    </cfRule>
  </conditionalFormatting>
  <conditionalFormatting sqref="D38:U38 W38">
    <cfRule type="expression" dxfId="157" priority="3">
      <formula>$D$38=""</formula>
    </cfRule>
  </conditionalFormatting>
  <conditionalFormatting sqref="G37:U37 W37">
    <cfRule type="expression" dxfId="156" priority="2">
      <formula>$D$37=""</formula>
    </cfRule>
  </conditionalFormatting>
  <conditionalFormatting sqref="G36:U36 W36:Y36">
    <cfRule type="expression" dxfId="155" priority="1">
      <formula>SUM($D$36)=0</formula>
    </cfRule>
  </conditionalFormatting>
  <dataValidations count="1">
    <dataValidation type="list" allowBlank="1" showInputMessage="1" showErrorMessage="1" sqref="E12">
      <formula1>$BQ$15:$BQ$23</formula1>
    </dataValidation>
  </dataValidations>
  <printOptions horizontalCentered="1"/>
  <pageMargins left="0.23622047244094491" right="0.23622047244094491" top="0.74803149606299213" bottom="0.74803149606299213" header="0.31496062992125984" footer="0"/>
  <pageSetup paperSize="9" orientation="portrait" r:id="rId1"/>
  <headerFooter alignWithMargins="0">
    <oddHeader>&amp;C&amp;G</oddHeader>
    <oddFooter>&amp;R&amp;G</oddFooter>
  </headerFooter>
  <ignoredErrors>
    <ignoredError sqref="X25:Z27 X7:AB7" evalError="1"/>
  </ignoredErrors>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Settings!$X$15:$X$18</xm:f>
          </x14:formula1>
          <xm:sqref>G12:I12</xm:sqref>
        </x14:dataValidation>
        <x14:dataValidation type="list" allowBlank="1" showInputMessage="1" showErrorMessage="1">
          <x14:formula1>
            <xm:f>Settings!$AC$14:$AC$16</xm:f>
          </x14:formula1>
          <xm:sqref>A11</xm:sqref>
        </x14:dataValidation>
        <x14:dataValidation type="list" allowBlank="1" showInputMessage="1" showErrorMessage="1">
          <x14:formula1>
            <xm:f>Settings!$W$15:$W$17</xm:f>
          </x14:formula1>
          <xm:sqref>G36:I38</xm:sqref>
        </x14:dataValidation>
        <x14:dataValidation type="list" allowBlank="1" showInputMessage="1" showErrorMessage="1">
          <x14:formula1>
            <xm:f>Settings!$AE$35:$AE$40</xm:f>
          </x14:formula1>
          <xm:sqref>J36:L38</xm:sqref>
        </x14:dataValidation>
        <x14:dataValidation type="list" allowBlank="1" showInputMessage="1" showErrorMessage="1">
          <x14:formula1>
            <xm:f>Settings!$AF$35:$AF$36</xm:f>
          </x14:formula1>
          <xm:sqref>M36:Q38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CI36"/>
  <sheetViews>
    <sheetView showGridLines="0" showRuler="0" zoomScaleNormal="100" workbookViewId="0">
      <selection activeCell="B35" sqref="B35:I35"/>
    </sheetView>
  </sheetViews>
  <sheetFormatPr defaultColWidth="3.5703125" defaultRowHeight="18.75" customHeight="1" x14ac:dyDescent="0.25"/>
  <cols>
    <col min="1" max="8" width="3.5703125" style="21"/>
    <col min="9" max="9" width="3.7109375" style="21" customWidth="1"/>
    <col min="10" max="16" width="3.5703125" style="21"/>
    <col min="17" max="17" width="3.5703125" style="23"/>
    <col min="18" max="27" width="3.5703125" style="21"/>
    <col min="28" max="28" width="4.140625" style="21" customWidth="1"/>
    <col min="29" max="43" width="3.5703125" style="94"/>
    <col min="44" max="48" width="3.5703125" style="129"/>
    <col min="49" max="50" width="3.5703125" style="129" customWidth="1"/>
    <col min="51" max="78" width="3.5703125" style="129"/>
    <col min="79" max="84" width="16.28515625" style="129" customWidth="1"/>
    <col min="85" max="87" width="3.5703125" style="129"/>
    <col min="88" max="16384" width="3.5703125" style="21"/>
  </cols>
  <sheetData>
    <row r="1" spans="1:87" ht="48" customHeight="1" x14ac:dyDescent="0.25">
      <c r="A1" s="1534" t="s">
        <v>688</v>
      </c>
      <c r="B1" s="1534"/>
      <c r="C1" s="1534"/>
      <c r="D1" s="1534"/>
      <c r="E1" s="1534"/>
      <c r="F1" s="1534"/>
      <c r="G1" s="1534"/>
      <c r="H1" s="1534"/>
      <c r="I1" s="1534"/>
      <c r="J1" s="1534"/>
      <c r="K1" s="1534"/>
      <c r="L1" s="1534"/>
      <c r="M1" s="1534"/>
      <c r="N1" s="1534"/>
      <c r="O1" s="1534"/>
      <c r="P1" s="1534"/>
      <c r="Q1" s="1534"/>
      <c r="R1" s="1534"/>
      <c r="S1" s="1534"/>
      <c r="T1" s="1534"/>
      <c r="AC1" s="1813" t="s">
        <v>434</v>
      </c>
      <c r="AD1" s="1813"/>
      <c r="AE1" s="1813"/>
      <c r="AF1" s="1813"/>
      <c r="AG1" s="1813"/>
      <c r="AH1" s="1813"/>
      <c r="AI1" s="1813"/>
      <c r="AJ1" s="1813"/>
      <c r="AK1" s="1813"/>
      <c r="AL1" s="1813"/>
      <c r="AM1" s="1813"/>
      <c r="AN1" s="1813"/>
      <c r="AO1" s="1813"/>
      <c r="AP1" s="1813"/>
      <c r="AQ1" s="1813"/>
      <c r="AR1" s="1813"/>
      <c r="AS1" s="1813"/>
      <c r="AT1" s="1813"/>
      <c r="AU1" s="1813"/>
      <c r="AV1" s="1813"/>
      <c r="AW1" s="1813"/>
      <c r="AX1" s="1813"/>
    </row>
    <row r="2" spans="1:87" ht="6" customHeight="1" x14ac:dyDescent="0.25">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row>
    <row r="3" spans="1:87" ht="15" x14ac:dyDescent="0.25">
      <c r="A3" s="686"/>
      <c r="B3" s="1724" t="s">
        <v>669</v>
      </c>
      <c r="C3" s="1724"/>
      <c r="D3" s="1724"/>
      <c r="E3" s="1724"/>
      <c r="F3" s="1724"/>
      <c r="G3" s="687"/>
      <c r="H3" s="1726" t="str">
        <f>+Profile!BE8</f>
        <v xml:space="preserve"> </v>
      </c>
      <c r="I3" s="1726"/>
      <c r="J3" s="1726"/>
      <c r="K3" s="1726"/>
      <c r="L3" s="1726"/>
      <c r="M3" s="1726"/>
      <c r="N3" s="1726"/>
      <c r="O3" s="1726"/>
      <c r="P3" s="1726"/>
      <c r="Q3" s="1726"/>
      <c r="R3" s="1724" t="s">
        <v>685</v>
      </c>
      <c r="S3" s="1724"/>
      <c r="T3" s="1724"/>
      <c r="U3" s="1727" t="str">
        <f>+Funding!U3</f>
        <v>Purchase - Invest</v>
      </c>
      <c r="V3" s="1727"/>
      <c r="W3" s="1727"/>
      <c r="X3" s="1727"/>
      <c r="Y3" s="1727"/>
      <c r="Z3" s="1727"/>
      <c r="AA3" s="1059"/>
      <c r="AB3" s="688"/>
    </row>
    <row r="4" spans="1:87" s="1" customFormat="1" ht="15" x14ac:dyDescent="0.25">
      <c r="A4" s="689"/>
      <c r="B4" s="689"/>
      <c r="C4" s="689"/>
      <c r="D4" s="689"/>
      <c r="E4" s="689"/>
      <c r="F4" s="689"/>
      <c r="G4" s="689"/>
      <c r="H4" s="689"/>
      <c r="I4" s="690"/>
      <c r="J4" s="690"/>
      <c r="K4" s="689"/>
      <c r="L4" s="689"/>
      <c r="M4" s="689"/>
      <c r="N4" s="689"/>
      <c r="O4" s="689"/>
      <c r="P4" s="689"/>
      <c r="Q4" s="689"/>
      <c r="R4" s="1724" t="s">
        <v>686</v>
      </c>
      <c r="S4" s="1724"/>
      <c r="T4" s="1724"/>
      <c r="U4" s="1727" t="str">
        <f>+Funding!U4</f>
        <v/>
      </c>
      <c r="V4" s="1727"/>
      <c r="W4" s="1727"/>
      <c r="X4" s="1727"/>
      <c r="Y4" s="1727"/>
      <c r="Z4" s="1058"/>
      <c r="AA4" s="1058"/>
      <c r="AB4" s="689"/>
      <c r="AC4" s="135"/>
      <c r="AD4" s="135"/>
      <c r="AE4" s="135"/>
      <c r="AF4" s="135"/>
      <c r="AG4" s="135"/>
      <c r="AH4" s="135"/>
      <c r="AI4" s="135"/>
      <c r="AJ4" s="135"/>
      <c r="AK4" s="135"/>
      <c r="AL4" s="135"/>
      <c r="AM4" s="135"/>
      <c r="AN4" s="135"/>
      <c r="AO4" s="135"/>
      <c r="AP4" s="135"/>
      <c r="AQ4" s="135"/>
      <c r="AR4" s="131"/>
      <c r="AS4" s="131"/>
      <c r="AT4" s="131"/>
      <c r="AU4" s="131"/>
      <c r="AV4" s="131"/>
      <c r="AW4" s="131"/>
      <c r="AX4" s="131"/>
      <c r="AY4" s="131"/>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31"/>
      <c r="CD4" s="131"/>
      <c r="CE4" s="131"/>
      <c r="CF4" s="131"/>
      <c r="CG4" s="131"/>
      <c r="CH4" s="131"/>
      <c r="CI4" s="131"/>
    </row>
    <row r="5" spans="1:87" s="65" customFormat="1" ht="6" customHeight="1" x14ac:dyDescent="0.25">
      <c r="A5" s="686"/>
      <c r="B5" s="1722"/>
      <c r="C5" s="1722"/>
      <c r="D5" s="1722"/>
      <c r="E5" s="1722"/>
      <c r="F5" s="1722"/>
      <c r="G5" s="1722"/>
      <c r="H5" s="1722"/>
      <c r="I5" s="1722"/>
      <c r="J5" s="1722"/>
      <c r="K5" s="1722"/>
      <c r="L5" s="1722"/>
      <c r="M5" s="1722"/>
      <c r="N5" s="1722"/>
      <c r="O5" s="1722"/>
      <c r="P5" s="1722"/>
      <c r="Q5" s="1722"/>
      <c r="R5" s="1722"/>
      <c r="S5" s="1722"/>
      <c r="T5" s="1722"/>
      <c r="U5" s="1722"/>
      <c r="V5" s="1722"/>
      <c r="W5" s="1722"/>
      <c r="X5" s="1722"/>
      <c r="Y5" s="1722"/>
      <c r="Z5" s="1722"/>
      <c r="AA5" s="1057"/>
      <c r="AB5" s="68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46"/>
      <c r="CD5" s="146"/>
      <c r="CE5" s="146"/>
      <c r="CF5" s="146"/>
      <c r="CG5" s="146"/>
      <c r="CH5" s="146"/>
      <c r="CI5" s="146"/>
    </row>
    <row r="6" spans="1:87" s="65" customFormat="1" ht="26.25" x14ac:dyDescent="0.4">
      <c r="A6" s="654"/>
      <c r="B6" s="1806" t="s">
        <v>504</v>
      </c>
      <c r="C6" s="1806"/>
      <c r="D6" s="1806"/>
      <c r="E6" s="1806"/>
      <c r="F6" s="1806"/>
      <c r="G6" s="1806"/>
      <c r="H6" s="1806"/>
      <c r="I6" s="1806"/>
      <c r="J6" s="654"/>
      <c r="K6" s="1806" t="s">
        <v>504</v>
      </c>
      <c r="L6" s="1806"/>
      <c r="M6" s="1806"/>
      <c r="N6" s="1806"/>
      <c r="O6" s="1806"/>
      <c r="P6" s="1806"/>
      <c r="Q6" s="1806"/>
      <c r="R6" s="1806"/>
      <c r="S6" s="654"/>
      <c r="T6" s="1806" t="s">
        <v>504</v>
      </c>
      <c r="U6" s="1806"/>
      <c r="V6" s="1806"/>
      <c r="W6" s="1806"/>
      <c r="X6" s="1806"/>
      <c r="Y6" s="1806"/>
      <c r="Z6" s="1806"/>
      <c r="AA6" s="1806"/>
      <c r="AB6" s="638"/>
      <c r="AC6" s="146"/>
      <c r="AD6" s="1067" t="s">
        <v>1153</v>
      </c>
      <c r="AE6" s="146"/>
      <c r="AF6" s="146"/>
      <c r="AG6" s="146"/>
      <c r="AH6" s="146"/>
      <c r="AI6" s="146"/>
      <c r="AJ6" s="146"/>
      <c r="AK6" s="146"/>
      <c r="AL6" s="146"/>
      <c r="AM6" s="146"/>
      <c r="AN6" s="146"/>
      <c r="AO6" s="146"/>
      <c r="AP6" s="146"/>
      <c r="AQ6" s="146"/>
      <c r="AR6" s="146"/>
      <c r="AS6" s="146"/>
      <c r="AT6" s="146"/>
      <c r="AU6" s="146"/>
      <c r="AV6" s="146"/>
      <c r="AW6" s="146"/>
      <c r="AX6" s="146"/>
      <c r="AY6" s="146"/>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46"/>
      <c r="CD6" s="146"/>
      <c r="CE6" s="146"/>
      <c r="CF6" s="146"/>
      <c r="CG6" s="146"/>
      <c r="CH6" s="146"/>
      <c r="CI6" s="146"/>
    </row>
    <row r="7" spans="1:87" s="65" customFormat="1" ht="37.5" customHeight="1" x14ac:dyDescent="0.25">
      <c r="A7" s="681"/>
      <c r="B7" s="1818" t="str">
        <f>IF(+Funding!A8="","",Funding!A8)</f>
        <v/>
      </c>
      <c r="C7" s="1819"/>
      <c r="D7" s="1819"/>
      <c r="E7" s="1819"/>
      <c r="F7" s="1819"/>
      <c r="G7" s="1819"/>
      <c r="H7" s="1819"/>
      <c r="I7" s="1820"/>
      <c r="J7" s="681"/>
      <c r="K7" s="1818"/>
      <c r="L7" s="1819"/>
      <c r="M7" s="1819"/>
      <c r="N7" s="1819"/>
      <c r="O7" s="1819"/>
      <c r="P7" s="1819"/>
      <c r="Q7" s="1819"/>
      <c r="R7" s="1820"/>
      <c r="S7" s="681"/>
      <c r="T7" s="1818"/>
      <c r="U7" s="1819"/>
      <c r="V7" s="1819"/>
      <c r="W7" s="1819"/>
      <c r="X7" s="1819"/>
      <c r="Y7" s="1819"/>
      <c r="Z7" s="1819"/>
      <c r="AA7" s="1820"/>
      <c r="AB7" s="638"/>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46"/>
      <c r="CD7" s="146"/>
      <c r="CE7" s="146"/>
      <c r="CF7" s="146"/>
      <c r="CG7" s="146"/>
      <c r="CH7" s="146"/>
      <c r="CI7" s="146"/>
    </row>
    <row r="8" spans="1:87" s="1" customFormat="1" ht="12.75" customHeight="1" x14ac:dyDescent="0.2">
      <c r="A8" s="682"/>
      <c r="B8" s="1817" t="s">
        <v>198</v>
      </c>
      <c r="C8" s="1804"/>
      <c r="D8" s="1804"/>
      <c r="E8" s="1804" t="s">
        <v>199</v>
      </c>
      <c r="F8" s="1804"/>
      <c r="G8" s="1804" t="s">
        <v>177</v>
      </c>
      <c r="H8" s="1804"/>
      <c r="I8" s="1805"/>
      <c r="J8" s="682"/>
      <c r="K8" s="1817" t="s">
        <v>198</v>
      </c>
      <c r="L8" s="1804"/>
      <c r="M8" s="1804"/>
      <c r="N8" s="1804" t="s">
        <v>199</v>
      </c>
      <c r="O8" s="1804"/>
      <c r="P8" s="1804" t="s">
        <v>177</v>
      </c>
      <c r="Q8" s="1804"/>
      <c r="R8" s="1805"/>
      <c r="S8" s="682"/>
      <c r="T8" s="1817" t="s">
        <v>198</v>
      </c>
      <c r="U8" s="1804"/>
      <c r="V8" s="1804"/>
      <c r="W8" s="1804" t="s">
        <v>199</v>
      </c>
      <c r="X8" s="1804"/>
      <c r="Y8" s="1804" t="s">
        <v>177</v>
      </c>
      <c r="Z8" s="1804"/>
      <c r="AA8" s="1805"/>
      <c r="AB8" s="638"/>
      <c r="AC8" s="135"/>
      <c r="AD8" s="135"/>
      <c r="AE8" s="135"/>
      <c r="AF8" s="135"/>
      <c r="AG8" s="135"/>
      <c r="AH8" s="135"/>
      <c r="AI8" s="135"/>
      <c r="AJ8" s="135"/>
      <c r="AK8" s="135"/>
      <c r="AL8" s="135"/>
      <c r="AM8" s="135"/>
      <c r="AN8" s="135"/>
      <c r="AO8" s="135"/>
      <c r="AP8" s="135"/>
      <c r="AQ8" s="135"/>
      <c r="AR8" s="131"/>
      <c r="AS8" s="131"/>
      <c r="AT8" s="131"/>
      <c r="AU8" s="131"/>
      <c r="AV8" s="131"/>
      <c r="AW8" s="131"/>
      <c r="AX8" s="131"/>
      <c r="AY8" s="131"/>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31"/>
      <c r="CD8" s="131"/>
      <c r="CE8" s="131"/>
      <c r="CF8" s="131"/>
      <c r="CG8" s="131"/>
      <c r="CH8" s="131"/>
      <c r="CI8" s="131"/>
    </row>
    <row r="9" spans="1:87" s="1" customFormat="1" ht="18.75" customHeight="1" x14ac:dyDescent="0.25">
      <c r="A9" s="639"/>
      <c r="B9" s="1814">
        <f>+Funding!G11</f>
        <v>0</v>
      </c>
      <c r="C9" s="1815"/>
      <c r="D9" s="1816"/>
      <c r="E9" s="1526" t="s">
        <v>255</v>
      </c>
      <c r="F9" s="1527"/>
      <c r="G9" s="1523">
        <v>42348</v>
      </c>
      <c r="H9" s="1524"/>
      <c r="I9" s="1525"/>
      <c r="J9" s="639"/>
      <c r="K9" s="1814"/>
      <c r="L9" s="1815"/>
      <c r="M9" s="1816"/>
      <c r="N9" s="1824"/>
      <c r="O9" s="1825"/>
      <c r="P9" s="1826"/>
      <c r="Q9" s="1827"/>
      <c r="R9" s="1828"/>
      <c r="S9" s="639"/>
      <c r="T9" s="1814"/>
      <c r="U9" s="1815"/>
      <c r="V9" s="1816"/>
      <c r="W9" s="1824"/>
      <c r="X9" s="1825"/>
      <c r="Y9" s="1826"/>
      <c r="Z9" s="1827"/>
      <c r="AA9" s="1828"/>
      <c r="AB9" s="638"/>
      <c r="AC9" s="135"/>
      <c r="AD9" s="135"/>
      <c r="AE9" s="135"/>
      <c r="AF9" s="135"/>
      <c r="AG9" s="135"/>
      <c r="AH9" s="135"/>
      <c r="AI9" s="135"/>
      <c r="AJ9" s="135"/>
      <c r="AK9" s="135"/>
      <c r="AL9" s="135"/>
      <c r="AM9" s="135"/>
      <c r="AN9" s="135"/>
      <c r="AO9" s="135"/>
      <c r="AP9" s="135"/>
      <c r="AQ9" s="135"/>
      <c r="AR9" s="131"/>
      <c r="AS9" s="131"/>
      <c r="AT9" s="131"/>
      <c r="AU9" s="131"/>
      <c r="AV9" s="131"/>
      <c r="AW9" s="131"/>
      <c r="AX9" s="131"/>
      <c r="AY9" s="131"/>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31"/>
      <c r="CD9" s="131"/>
      <c r="CE9" s="131"/>
      <c r="CF9" s="131"/>
      <c r="CG9" s="131"/>
      <c r="CH9" s="131"/>
      <c r="CI9" s="131"/>
    </row>
    <row r="10" spans="1:87" s="1" customFormat="1" ht="18.75" customHeight="1" x14ac:dyDescent="0.2">
      <c r="A10" s="639"/>
      <c r="B10" s="1811" t="s">
        <v>1147</v>
      </c>
      <c r="C10" s="1812"/>
      <c r="D10" s="1812"/>
      <c r="E10" s="1812"/>
      <c r="F10" s="1812"/>
      <c r="G10" s="1812"/>
      <c r="H10" s="1812"/>
      <c r="I10" s="1812"/>
      <c r="J10" s="639"/>
      <c r="K10" s="1811" t="s">
        <v>1147</v>
      </c>
      <c r="L10" s="1812"/>
      <c r="M10" s="1812"/>
      <c r="N10" s="1812"/>
      <c r="O10" s="1812"/>
      <c r="P10" s="1812"/>
      <c r="Q10" s="1812"/>
      <c r="R10" s="1812"/>
      <c r="S10" s="639"/>
      <c r="T10" s="1811" t="s">
        <v>1147</v>
      </c>
      <c r="U10" s="1812"/>
      <c r="V10" s="1812"/>
      <c r="W10" s="1812"/>
      <c r="X10" s="1812"/>
      <c r="Y10" s="1812"/>
      <c r="Z10" s="1812"/>
      <c r="AA10" s="1812"/>
      <c r="AB10" s="639"/>
      <c r="AC10" s="131"/>
      <c r="AD10" s="135"/>
      <c r="AE10" s="135"/>
      <c r="AF10" s="135"/>
      <c r="AG10" s="135"/>
      <c r="AH10" s="135"/>
      <c r="AI10" s="135"/>
      <c r="AJ10" s="135"/>
      <c r="AK10" s="135"/>
      <c r="AL10" s="135"/>
      <c r="AM10" s="135"/>
      <c r="AN10" s="135"/>
      <c r="AO10" s="135"/>
      <c r="AP10" s="135"/>
      <c r="AQ10" s="135"/>
      <c r="AR10" s="131"/>
      <c r="AS10" s="131"/>
      <c r="AT10" s="131"/>
      <c r="AU10" s="131"/>
      <c r="AV10" s="131"/>
      <c r="AW10" s="131"/>
      <c r="AX10" s="131"/>
      <c r="AY10" s="131"/>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31"/>
      <c r="CD10" s="131"/>
      <c r="CE10" s="131"/>
      <c r="CF10" s="131"/>
      <c r="CG10" s="131"/>
      <c r="CH10" s="131"/>
      <c r="CI10" s="131"/>
    </row>
    <row r="11" spans="1:87" s="1" customFormat="1" ht="18.75" customHeight="1" x14ac:dyDescent="0.25">
      <c r="A11" s="639"/>
      <c r="B11" s="956">
        <v>1</v>
      </c>
      <c r="C11" s="1795" t="str">
        <f>+Funding!AC36</f>
        <v/>
      </c>
      <c r="D11" s="1796"/>
      <c r="E11" s="1796"/>
      <c r="F11" s="1796"/>
      <c r="G11" s="1796"/>
      <c r="H11" s="1796"/>
      <c r="I11" s="1797"/>
      <c r="J11" s="639"/>
      <c r="K11" s="956"/>
      <c r="L11" s="1795" t="str">
        <f>+C11</f>
        <v/>
      </c>
      <c r="M11" s="1796"/>
      <c r="N11" s="1796"/>
      <c r="O11" s="1796"/>
      <c r="P11" s="1796"/>
      <c r="Q11" s="1796"/>
      <c r="R11" s="1797"/>
      <c r="S11" s="639"/>
      <c r="T11" s="956"/>
      <c r="U11" s="1795" t="str">
        <f>+L11</f>
        <v/>
      </c>
      <c r="V11" s="1796"/>
      <c r="W11" s="1796"/>
      <c r="X11" s="1796"/>
      <c r="Y11" s="1796"/>
      <c r="Z11" s="1796"/>
      <c r="AA11" s="1797"/>
      <c r="AB11" s="639"/>
      <c r="AC11" s="135"/>
      <c r="AD11" s="135"/>
      <c r="AE11" s="135"/>
      <c r="AF11" s="135"/>
      <c r="AG11" s="135"/>
      <c r="AH11" s="135"/>
      <c r="AI11" s="135"/>
      <c r="AJ11" s="135"/>
      <c r="AK11" s="135"/>
      <c r="AL11" s="135"/>
      <c r="AM11" s="135"/>
      <c r="AN11" s="135"/>
      <c r="AO11" s="135"/>
      <c r="AP11" s="135"/>
      <c r="AQ11" s="135"/>
      <c r="AR11" s="131"/>
      <c r="AS11" s="131"/>
      <c r="AT11" s="131"/>
      <c r="AU11" s="131"/>
      <c r="AV11" s="131"/>
      <c r="AW11" s="131"/>
      <c r="AX11" s="131"/>
      <c r="AY11" s="131"/>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31"/>
      <c r="CD11" s="131"/>
      <c r="CE11" s="131"/>
      <c r="CF11" s="131"/>
      <c r="CG11" s="131"/>
      <c r="CH11" s="131"/>
      <c r="CI11" s="131"/>
    </row>
    <row r="12" spans="1:87" s="1" customFormat="1" ht="18.75" customHeight="1" x14ac:dyDescent="0.25">
      <c r="A12" s="639"/>
      <c r="B12" s="956"/>
      <c r="C12" s="1795" t="e">
        <f>+Funding!AC37</f>
        <v>#VALUE!</v>
      </c>
      <c r="D12" s="1796"/>
      <c r="E12" s="1796"/>
      <c r="F12" s="1796"/>
      <c r="G12" s="1796"/>
      <c r="H12" s="1796"/>
      <c r="I12" s="1797"/>
      <c r="J12" s="639"/>
      <c r="K12" s="956"/>
      <c r="L12" s="1795" t="e">
        <f>+C12</f>
        <v>#VALUE!</v>
      </c>
      <c r="M12" s="1796"/>
      <c r="N12" s="1796"/>
      <c r="O12" s="1796"/>
      <c r="P12" s="1796"/>
      <c r="Q12" s="1796"/>
      <c r="R12" s="1797"/>
      <c r="S12" s="639"/>
      <c r="T12" s="956"/>
      <c r="U12" s="1795" t="e">
        <f>+L12</f>
        <v>#VALUE!</v>
      </c>
      <c r="V12" s="1796"/>
      <c r="W12" s="1796"/>
      <c r="X12" s="1796"/>
      <c r="Y12" s="1796"/>
      <c r="Z12" s="1796"/>
      <c r="AA12" s="1797"/>
      <c r="AB12" s="639"/>
      <c r="AC12" s="135"/>
      <c r="AD12" s="135"/>
      <c r="AE12" s="135"/>
      <c r="AF12" s="135"/>
      <c r="AG12" s="135"/>
      <c r="AH12" s="135"/>
      <c r="AI12" s="135"/>
      <c r="AJ12" s="135"/>
      <c r="AK12" s="135"/>
      <c r="AL12" s="135"/>
      <c r="AM12" s="135"/>
      <c r="AN12" s="135"/>
      <c r="AO12" s="135"/>
      <c r="AP12" s="135"/>
      <c r="AQ12" s="135"/>
      <c r="AR12" s="131"/>
      <c r="AS12" s="131"/>
      <c r="AT12" s="131"/>
      <c r="AU12" s="131"/>
      <c r="AV12" s="131"/>
      <c r="AW12" s="131"/>
      <c r="AX12" s="131"/>
      <c r="AY12" s="131"/>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31"/>
      <c r="CD12" s="131"/>
      <c r="CE12" s="131"/>
      <c r="CF12" s="131"/>
      <c r="CG12" s="131"/>
      <c r="CH12" s="131"/>
      <c r="CI12" s="131"/>
    </row>
    <row r="13" spans="1:87" s="1" customFormat="1" ht="18.75" customHeight="1" x14ac:dyDescent="0.25">
      <c r="A13" s="639"/>
      <c r="B13" s="956"/>
      <c r="C13" s="1795" t="e">
        <f>+Funding!AC38</f>
        <v>#VALUE!</v>
      </c>
      <c r="D13" s="1796"/>
      <c r="E13" s="1796"/>
      <c r="F13" s="1796"/>
      <c r="G13" s="1796"/>
      <c r="H13" s="1796"/>
      <c r="I13" s="1797"/>
      <c r="J13" s="639"/>
      <c r="K13" s="956"/>
      <c r="L13" s="1795" t="e">
        <f>+C13</f>
        <v>#VALUE!</v>
      </c>
      <c r="M13" s="1796"/>
      <c r="N13" s="1796"/>
      <c r="O13" s="1796"/>
      <c r="P13" s="1796"/>
      <c r="Q13" s="1796"/>
      <c r="R13" s="1797"/>
      <c r="S13" s="639"/>
      <c r="T13" s="956"/>
      <c r="U13" s="1795" t="e">
        <f>+L13</f>
        <v>#VALUE!</v>
      </c>
      <c r="V13" s="1796"/>
      <c r="W13" s="1796"/>
      <c r="X13" s="1796"/>
      <c r="Y13" s="1796"/>
      <c r="Z13" s="1796"/>
      <c r="AA13" s="1797"/>
      <c r="AB13" s="639"/>
      <c r="AC13" s="135"/>
      <c r="AD13" s="135"/>
      <c r="AE13" s="135"/>
      <c r="AF13" s="135"/>
      <c r="AG13" s="135"/>
      <c r="AH13" s="135"/>
      <c r="AI13" s="135"/>
      <c r="AJ13" s="135"/>
      <c r="AK13" s="135"/>
      <c r="AL13" s="135"/>
      <c r="AM13" s="135"/>
      <c r="AN13" s="135"/>
      <c r="AO13" s="135"/>
      <c r="AP13" s="135"/>
      <c r="AQ13" s="135"/>
      <c r="AR13" s="131"/>
      <c r="AS13" s="131"/>
      <c r="AT13" s="131"/>
      <c r="AU13" s="131"/>
      <c r="AV13" s="131"/>
      <c r="AW13" s="131"/>
      <c r="AX13" s="131"/>
      <c r="AY13" s="131"/>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31"/>
      <c r="CD13" s="131"/>
      <c r="CE13" s="131"/>
      <c r="CF13" s="131"/>
      <c r="CG13" s="131"/>
      <c r="CH13" s="131"/>
      <c r="CI13" s="131"/>
    </row>
    <row r="14" spans="1:87" s="1" customFormat="1" ht="18.75" customHeight="1" x14ac:dyDescent="0.25">
      <c r="A14" s="639"/>
      <c r="B14" s="956"/>
      <c r="C14" s="1795"/>
      <c r="D14" s="1796"/>
      <c r="E14" s="1796"/>
      <c r="F14" s="1796"/>
      <c r="G14" s="1796"/>
      <c r="H14" s="1796"/>
      <c r="I14" s="1797"/>
      <c r="J14" s="639"/>
      <c r="K14" s="956"/>
      <c r="L14" s="1795"/>
      <c r="M14" s="1796"/>
      <c r="N14" s="1796"/>
      <c r="O14" s="1796"/>
      <c r="P14" s="1796"/>
      <c r="Q14" s="1796"/>
      <c r="R14" s="1797"/>
      <c r="S14" s="639"/>
      <c r="T14" s="956"/>
      <c r="U14" s="1795"/>
      <c r="V14" s="1796"/>
      <c r="W14" s="1796"/>
      <c r="X14" s="1796"/>
      <c r="Y14" s="1796"/>
      <c r="Z14" s="1796"/>
      <c r="AA14" s="1797"/>
      <c r="AB14" s="639"/>
      <c r="AC14" s="135"/>
      <c r="AD14" s="135"/>
      <c r="AE14" s="135"/>
      <c r="AF14" s="135"/>
      <c r="AG14" s="135"/>
      <c r="AH14" s="135"/>
      <c r="AI14" s="135"/>
      <c r="AJ14" s="135"/>
      <c r="AK14" s="135"/>
      <c r="AL14" s="135"/>
      <c r="AM14" s="135"/>
      <c r="AN14" s="135"/>
      <c r="AO14" s="135"/>
      <c r="AP14" s="135"/>
      <c r="AQ14" s="135"/>
      <c r="AR14" s="131"/>
      <c r="AS14" s="131"/>
      <c r="AT14" s="131"/>
      <c r="AU14" s="131"/>
      <c r="AV14" s="131"/>
      <c r="AW14" s="131"/>
      <c r="AX14" s="131"/>
      <c r="AY14" s="131"/>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31"/>
      <c r="CD14" s="131"/>
      <c r="CE14" s="131"/>
      <c r="CF14" s="131"/>
      <c r="CG14" s="131"/>
      <c r="CH14" s="131"/>
      <c r="CI14" s="131"/>
    </row>
    <row r="15" spans="1:87" s="1" customFormat="1" ht="26.25" x14ac:dyDescent="0.4">
      <c r="A15" s="639"/>
      <c r="B15" s="1806" t="s">
        <v>1146</v>
      </c>
      <c r="C15" s="1806"/>
      <c r="D15" s="1806"/>
      <c r="E15" s="1806"/>
      <c r="F15" s="1806"/>
      <c r="G15" s="1806"/>
      <c r="H15" s="1806"/>
      <c r="I15" s="1806"/>
      <c r="J15" s="639"/>
      <c r="K15" s="1806" t="s">
        <v>1146</v>
      </c>
      <c r="L15" s="1806"/>
      <c r="M15" s="1806"/>
      <c r="N15" s="1806"/>
      <c r="O15" s="1806"/>
      <c r="P15" s="1806"/>
      <c r="Q15" s="1806"/>
      <c r="R15" s="1806"/>
      <c r="S15" s="639"/>
      <c r="T15" s="1806" t="s">
        <v>1146</v>
      </c>
      <c r="U15" s="1806"/>
      <c r="V15" s="1806"/>
      <c r="W15" s="1806"/>
      <c r="X15" s="1806"/>
      <c r="Y15" s="1806"/>
      <c r="Z15" s="1806"/>
      <c r="AA15" s="1806"/>
      <c r="AB15" s="639"/>
      <c r="AC15" s="135"/>
      <c r="AD15" s="135"/>
      <c r="AE15" s="135"/>
      <c r="AF15" s="135"/>
      <c r="AG15" s="135"/>
      <c r="AH15" s="135"/>
      <c r="AI15" s="135"/>
      <c r="AJ15" s="135"/>
      <c r="AK15" s="135"/>
      <c r="AL15" s="135"/>
      <c r="AM15" s="135"/>
      <c r="AN15" s="135"/>
      <c r="AO15" s="135"/>
      <c r="AP15" s="135"/>
      <c r="AQ15" s="135"/>
      <c r="AR15" s="131"/>
      <c r="AS15" s="131"/>
      <c r="AT15" s="131"/>
      <c r="AU15" s="131"/>
      <c r="AV15" s="131"/>
      <c r="AW15" s="131"/>
      <c r="AX15" s="131"/>
      <c r="AY15" s="131"/>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31"/>
      <c r="CD15" s="131"/>
      <c r="CE15" s="131"/>
      <c r="CF15" s="131"/>
      <c r="CG15" s="131"/>
      <c r="CH15" s="131"/>
      <c r="CI15" s="131"/>
    </row>
    <row r="16" spans="1:87" s="1" customFormat="1" ht="18.75" customHeight="1" x14ac:dyDescent="0.25">
      <c r="A16" s="639"/>
      <c r="B16" s="956"/>
      <c r="C16" s="1795" t="str">
        <f>+Profile!I4</f>
        <v/>
      </c>
      <c r="D16" s="1796"/>
      <c r="E16" s="1796"/>
      <c r="F16" s="1796"/>
      <c r="G16" s="1796"/>
      <c r="H16" s="1796"/>
      <c r="I16" s="1797"/>
      <c r="J16" s="639"/>
      <c r="K16" s="956"/>
      <c r="L16" s="1795" t="str">
        <f>+C16</f>
        <v/>
      </c>
      <c r="M16" s="1796"/>
      <c r="N16" s="1796"/>
      <c r="O16" s="1796"/>
      <c r="P16" s="1796"/>
      <c r="Q16" s="1796"/>
      <c r="R16" s="1797"/>
      <c r="S16" s="639"/>
      <c r="T16" s="956"/>
      <c r="U16" s="1795" t="str">
        <f>+L16</f>
        <v/>
      </c>
      <c r="V16" s="1796"/>
      <c r="W16" s="1796"/>
      <c r="X16" s="1796"/>
      <c r="Y16" s="1796"/>
      <c r="Z16" s="1796"/>
      <c r="AA16" s="1797"/>
      <c r="AB16" s="639"/>
      <c r="AC16" s="135"/>
      <c r="AD16" s="135"/>
      <c r="AE16" s="135"/>
      <c r="AF16" s="135"/>
      <c r="AG16" s="135"/>
      <c r="AH16" s="135"/>
      <c r="AI16" s="135"/>
      <c r="AJ16" s="135"/>
      <c r="AK16" s="135"/>
      <c r="AL16" s="135"/>
      <c r="AM16" s="135"/>
      <c r="AN16" s="135"/>
      <c r="AO16" s="135"/>
      <c r="AP16" s="135"/>
      <c r="AQ16" s="135"/>
      <c r="AR16" s="131"/>
      <c r="AS16" s="131"/>
      <c r="AT16" s="131"/>
      <c r="AU16" s="131"/>
      <c r="AV16" s="131"/>
      <c r="AW16" s="131"/>
      <c r="AX16" s="131"/>
      <c r="AY16" s="131"/>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31"/>
      <c r="CD16" s="131"/>
      <c r="CE16" s="131"/>
      <c r="CF16" s="131"/>
      <c r="CG16" s="131"/>
      <c r="CH16" s="131"/>
      <c r="CI16" s="131"/>
    </row>
    <row r="17" spans="1:87" s="1" customFormat="1" ht="18.75" customHeight="1" x14ac:dyDescent="0.25">
      <c r="A17" s="639"/>
      <c r="B17" s="956"/>
      <c r="C17" s="1795" t="str">
        <f>+Profile!T4</f>
        <v xml:space="preserve">  </v>
      </c>
      <c r="D17" s="1796"/>
      <c r="E17" s="1796"/>
      <c r="F17" s="1796"/>
      <c r="G17" s="1796"/>
      <c r="H17" s="1796"/>
      <c r="I17" s="1797"/>
      <c r="J17" s="639"/>
      <c r="K17" s="956"/>
      <c r="L17" s="1795" t="str">
        <f>+C17</f>
        <v xml:space="preserve">  </v>
      </c>
      <c r="M17" s="1796"/>
      <c r="N17" s="1796"/>
      <c r="O17" s="1796"/>
      <c r="P17" s="1796"/>
      <c r="Q17" s="1796"/>
      <c r="R17" s="1797"/>
      <c r="S17" s="639"/>
      <c r="T17" s="956"/>
      <c r="U17" s="1795" t="str">
        <f>+L17</f>
        <v xml:space="preserve">  </v>
      </c>
      <c r="V17" s="1796"/>
      <c r="W17" s="1796"/>
      <c r="X17" s="1796"/>
      <c r="Y17" s="1796"/>
      <c r="Z17" s="1796"/>
      <c r="AA17" s="1797"/>
      <c r="AB17" s="639"/>
      <c r="AC17" s="135"/>
      <c r="AD17" s="135"/>
      <c r="AE17" s="135"/>
      <c r="AF17" s="135"/>
      <c r="AG17" s="135"/>
      <c r="AH17" s="135"/>
      <c r="AI17" s="135"/>
      <c r="AJ17" s="135"/>
      <c r="AK17" s="135"/>
      <c r="AL17" s="135"/>
      <c r="AM17" s="135"/>
      <c r="AN17" s="135"/>
      <c r="AO17" s="135"/>
      <c r="AP17" s="135"/>
      <c r="AQ17" s="135"/>
      <c r="AR17" s="131"/>
      <c r="AS17" s="131"/>
      <c r="AT17" s="131"/>
      <c r="AU17" s="131"/>
      <c r="AV17" s="131"/>
      <c r="AW17" s="131"/>
      <c r="AX17" s="131"/>
      <c r="AY17" s="131"/>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31"/>
      <c r="CD17" s="131"/>
      <c r="CE17" s="131"/>
      <c r="CF17" s="131"/>
      <c r="CG17" s="131"/>
      <c r="CH17" s="131"/>
      <c r="CI17" s="131"/>
    </row>
    <row r="18" spans="1:87" s="1" customFormat="1" ht="15" x14ac:dyDescent="0.2">
      <c r="A18" s="639"/>
      <c r="B18" s="1811" t="s">
        <v>1144</v>
      </c>
      <c r="C18" s="1812"/>
      <c r="D18" s="1812"/>
      <c r="E18" s="1812"/>
      <c r="F18" s="1812"/>
      <c r="G18" s="1812"/>
      <c r="H18" s="1812"/>
      <c r="I18" s="1812"/>
      <c r="J18" s="639"/>
      <c r="K18" s="1811" t="s">
        <v>1144</v>
      </c>
      <c r="L18" s="1812"/>
      <c r="M18" s="1812"/>
      <c r="N18" s="1812"/>
      <c r="O18" s="1812"/>
      <c r="P18" s="1812"/>
      <c r="Q18" s="1812"/>
      <c r="R18" s="1812"/>
      <c r="S18" s="639"/>
      <c r="T18" s="1811" t="s">
        <v>1144</v>
      </c>
      <c r="U18" s="1812"/>
      <c r="V18" s="1812"/>
      <c r="W18" s="1812"/>
      <c r="X18" s="1812"/>
      <c r="Y18" s="1812"/>
      <c r="Z18" s="1812"/>
      <c r="AA18" s="1812"/>
      <c r="AB18" s="639"/>
      <c r="AC18" s="135"/>
      <c r="AD18" s="135"/>
      <c r="AE18" s="135"/>
      <c r="AF18" s="135"/>
      <c r="AG18" s="135"/>
      <c r="AH18" s="135"/>
      <c r="AI18" s="135"/>
      <c r="AJ18" s="135"/>
      <c r="AK18" s="135"/>
      <c r="AL18" s="135"/>
      <c r="AM18" s="135"/>
      <c r="AN18" s="135"/>
      <c r="AO18" s="135"/>
      <c r="AP18" s="135"/>
      <c r="AQ18" s="135"/>
      <c r="AR18" s="131"/>
      <c r="AS18" s="131"/>
      <c r="AT18" s="131"/>
      <c r="AU18" s="131"/>
      <c r="AV18" s="131"/>
      <c r="AW18" s="131"/>
      <c r="AX18" s="131"/>
      <c r="AY18" s="131"/>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31"/>
      <c r="CD18" s="131"/>
      <c r="CE18" s="131"/>
      <c r="CF18" s="131"/>
      <c r="CG18" s="131"/>
      <c r="CH18" s="131"/>
      <c r="CI18" s="131"/>
    </row>
    <row r="19" spans="1:87" s="1" customFormat="1" ht="18.75" customHeight="1" x14ac:dyDescent="0.25">
      <c r="A19" s="639"/>
      <c r="B19" s="956"/>
      <c r="C19" s="1795"/>
      <c r="D19" s="1796"/>
      <c r="E19" s="1796"/>
      <c r="F19" s="1796"/>
      <c r="G19" s="1796"/>
      <c r="H19" s="1796"/>
      <c r="I19" s="1797"/>
      <c r="J19" s="639"/>
      <c r="K19" s="956"/>
      <c r="L19" s="1795"/>
      <c r="M19" s="1796"/>
      <c r="N19" s="1796"/>
      <c r="O19" s="1796"/>
      <c r="P19" s="1796"/>
      <c r="Q19" s="1796"/>
      <c r="R19" s="1797"/>
      <c r="S19" s="639"/>
      <c r="T19" s="956"/>
      <c r="U19" s="1795"/>
      <c r="V19" s="1796"/>
      <c r="W19" s="1796"/>
      <c r="X19" s="1796"/>
      <c r="Y19" s="1796"/>
      <c r="Z19" s="1796"/>
      <c r="AA19" s="1797"/>
      <c r="AB19" s="639"/>
      <c r="AC19" s="135"/>
      <c r="AD19" s="1803"/>
      <c r="AE19" s="1803"/>
      <c r="AF19" s="1803"/>
      <c r="AG19" s="1803"/>
      <c r="AH19" s="1803"/>
      <c r="AI19" s="1803"/>
      <c r="AJ19" s="1803"/>
      <c r="AK19" s="1803"/>
      <c r="AL19" s="1803"/>
      <c r="AM19" s="1803"/>
      <c r="AN19" s="1803"/>
      <c r="AO19" s="1803"/>
      <c r="AP19" s="1803"/>
      <c r="AQ19" s="1803"/>
      <c r="AR19" s="1803"/>
      <c r="AS19" s="1803"/>
      <c r="AT19" s="1803"/>
      <c r="AU19" s="1803"/>
      <c r="AV19" s="1803"/>
      <c r="AW19" s="1803"/>
      <c r="AX19" s="1803"/>
      <c r="AY19" s="131"/>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31"/>
      <c r="CD19" s="131"/>
      <c r="CE19" s="131"/>
      <c r="CF19" s="131"/>
      <c r="CG19" s="131"/>
      <c r="CH19" s="131"/>
      <c r="CI19" s="131"/>
    </row>
    <row r="20" spans="1:87" s="1" customFormat="1" ht="18.75" customHeight="1" x14ac:dyDescent="0.2">
      <c r="A20" s="639"/>
      <c r="B20" s="1829" t="s">
        <v>1145</v>
      </c>
      <c r="C20" s="1829"/>
      <c r="D20" s="1795"/>
      <c r="E20" s="1796"/>
      <c r="F20" s="1796"/>
      <c r="G20" s="1796"/>
      <c r="H20" s="1796"/>
      <c r="I20" s="1797"/>
      <c r="J20" s="639"/>
      <c r="K20" s="1829" t="s">
        <v>1145</v>
      </c>
      <c r="L20" s="1829"/>
      <c r="M20" s="1795"/>
      <c r="N20" s="1796"/>
      <c r="O20" s="1796"/>
      <c r="P20" s="1796"/>
      <c r="Q20" s="1796"/>
      <c r="R20" s="1797"/>
      <c r="S20" s="639"/>
      <c r="T20" s="1829" t="s">
        <v>1145</v>
      </c>
      <c r="U20" s="1829"/>
      <c r="V20" s="1795"/>
      <c r="W20" s="1796"/>
      <c r="X20" s="1796"/>
      <c r="Y20" s="1796"/>
      <c r="Z20" s="1796"/>
      <c r="AA20" s="1797"/>
      <c r="AB20" s="639"/>
      <c r="AC20" s="135"/>
      <c r="AD20" s="324"/>
      <c r="AE20" s="135"/>
      <c r="AF20" s="135"/>
      <c r="AG20" s="135"/>
      <c r="AH20" s="135"/>
      <c r="AI20" s="135"/>
      <c r="AJ20" s="135"/>
      <c r="AK20" s="135"/>
      <c r="AL20" s="135"/>
      <c r="AM20" s="135"/>
      <c r="AN20" s="135"/>
      <c r="AO20" s="135"/>
      <c r="AP20" s="135"/>
      <c r="AQ20" s="135"/>
      <c r="AR20" s="131"/>
      <c r="AS20" s="131"/>
      <c r="AT20" s="131"/>
      <c r="AU20" s="131"/>
      <c r="AV20" s="131"/>
      <c r="AW20" s="131"/>
      <c r="AX20" s="131"/>
      <c r="AY20" s="131"/>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31"/>
      <c r="CD20" s="131"/>
      <c r="CE20" s="131"/>
      <c r="CF20" s="131"/>
      <c r="CG20" s="131"/>
      <c r="CH20" s="131"/>
      <c r="CI20" s="131"/>
    </row>
    <row r="21" spans="1:87" s="1" customFormat="1" ht="18.75" customHeight="1" x14ac:dyDescent="0.2">
      <c r="A21" s="639"/>
      <c r="B21" s="1807" t="s">
        <v>215</v>
      </c>
      <c r="C21" s="1807"/>
      <c r="D21" s="1795"/>
      <c r="E21" s="1796"/>
      <c r="F21" s="1796"/>
      <c r="G21" s="1796"/>
      <c r="H21" s="1796"/>
      <c r="I21" s="1797"/>
      <c r="J21" s="639"/>
      <c r="K21" s="1807" t="s">
        <v>215</v>
      </c>
      <c r="L21" s="1807"/>
      <c r="M21" s="1795"/>
      <c r="N21" s="1796"/>
      <c r="O21" s="1796"/>
      <c r="P21" s="1796"/>
      <c r="Q21" s="1796"/>
      <c r="R21" s="1797"/>
      <c r="S21" s="639"/>
      <c r="T21" s="1807" t="s">
        <v>215</v>
      </c>
      <c r="U21" s="1807"/>
      <c r="V21" s="1795"/>
      <c r="W21" s="1796"/>
      <c r="X21" s="1796"/>
      <c r="Y21" s="1796"/>
      <c r="Z21" s="1796"/>
      <c r="AA21" s="1797"/>
      <c r="AB21" s="639"/>
      <c r="AC21" s="135"/>
      <c r="AD21" s="324"/>
      <c r="AE21" s="135"/>
      <c r="AF21" s="135"/>
      <c r="AG21" s="135"/>
      <c r="AH21" s="135"/>
      <c r="AI21" s="135"/>
      <c r="AJ21" s="135"/>
      <c r="AK21" s="135"/>
      <c r="AL21" s="135"/>
      <c r="AM21" s="135"/>
      <c r="AN21" s="135"/>
      <c r="AO21" s="135"/>
      <c r="AP21" s="135"/>
      <c r="AQ21" s="135"/>
      <c r="AR21" s="131"/>
      <c r="AS21" s="131"/>
      <c r="AT21" s="131"/>
      <c r="AU21" s="131"/>
      <c r="AV21" s="131"/>
      <c r="AW21" s="131"/>
      <c r="AX21" s="131"/>
      <c r="AY21" s="131"/>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31"/>
      <c r="CD21" s="131"/>
      <c r="CE21" s="131"/>
      <c r="CF21" s="131"/>
      <c r="CG21" s="131"/>
      <c r="CH21" s="131"/>
      <c r="CI21" s="131"/>
    </row>
    <row r="22" spans="1:87" s="1" customFormat="1" ht="18.75" customHeight="1" x14ac:dyDescent="0.2">
      <c r="A22" s="639"/>
      <c r="B22" s="1807" t="s">
        <v>3</v>
      </c>
      <c r="C22" s="1807"/>
      <c r="D22" s="1795"/>
      <c r="E22" s="1796"/>
      <c r="F22" s="1796"/>
      <c r="G22" s="1796"/>
      <c r="H22" s="1796"/>
      <c r="I22" s="1797"/>
      <c r="J22" s="639"/>
      <c r="K22" s="1807" t="s">
        <v>3</v>
      </c>
      <c r="L22" s="1807"/>
      <c r="M22" s="1795"/>
      <c r="N22" s="1796"/>
      <c r="O22" s="1796"/>
      <c r="P22" s="1796"/>
      <c r="Q22" s="1796"/>
      <c r="R22" s="1797"/>
      <c r="S22" s="639"/>
      <c r="T22" s="1807" t="s">
        <v>3</v>
      </c>
      <c r="U22" s="1807"/>
      <c r="V22" s="1795"/>
      <c r="W22" s="1796"/>
      <c r="X22" s="1796"/>
      <c r="Y22" s="1796"/>
      <c r="Z22" s="1796"/>
      <c r="AA22" s="1797"/>
      <c r="AB22" s="639"/>
      <c r="AC22" s="135"/>
      <c r="AD22" s="1802"/>
      <c r="AE22" s="1802"/>
      <c r="AF22" s="1802"/>
      <c r="AG22" s="1802"/>
      <c r="AH22" s="1802"/>
      <c r="AI22" s="1802"/>
      <c r="AJ22" s="1802"/>
      <c r="AK22" s="1802"/>
      <c r="AL22" s="1802"/>
      <c r="AM22" s="1802"/>
      <c r="AN22" s="1802"/>
      <c r="AO22" s="1802"/>
      <c r="AP22" s="1802"/>
      <c r="AQ22" s="1802"/>
      <c r="AR22" s="1802"/>
      <c r="AS22" s="1802"/>
      <c r="AT22" s="1802"/>
      <c r="AU22" s="1802"/>
      <c r="AV22" s="1802"/>
      <c r="AW22" s="1802"/>
      <c r="AX22" s="1802"/>
      <c r="AY22" s="131"/>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31"/>
      <c r="CD22" s="131"/>
      <c r="CE22" s="131"/>
      <c r="CF22" s="131"/>
      <c r="CG22" s="131"/>
      <c r="CH22" s="131"/>
      <c r="CI22" s="131"/>
    </row>
    <row r="23" spans="1:87" s="1" customFormat="1" ht="26.25" x14ac:dyDescent="0.25">
      <c r="A23" s="639"/>
      <c r="B23" s="1831" t="s">
        <v>1142</v>
      </c>
      <c r="C23" s="1831"/>
      <c r="D23" s="1831"/>
      <c r="E23" s="1831"/>
      <c r="F23" s="1831"/>
      <c r="G23" s="1831"/>
      <c r="H23" s="1831"/>
      <c r="I23" s="1831"/>
      <c r="J23" s="639"/>
      <c r="K23" s="1831" t="s">
        <v>1142</v>
      </c>
      <c r="L23" s="1831"/>
      <c r="M23" s="1831"/>
      <c r="N23" s="1831"/>
      <c r="O23" s="1831"/>
      <c r="P23" s="1831"/>
      <c r="Q23" s="1831"/>
      <c r="R23" s="1831"/>
      <c r="S23" s="639"/>
      <c r="T23" s="1831" t="s">
        <v>1142</v>
      </c>
      <c r="U23" s="1831"/>
      <c r="V23" s="1831"/>
      <c r="W23" s="1831"/>
      <c r="X23" s="1831"/>
      <c r="Y23" s="1831"/>
      <c r="Z23" s="1831"/>
      <c r="AA23" s="1831"/>
      <c r="AB23" s="325"/>
      <c r="AC23" s="131"/>
      <c r="AD23" s="131"/>
      <c r="AE23" s="131"/>
      <c r="AF23" s="131"/>
      <c r="AG23" s="131"/>
      <c r="AH23" s="131"/>
      <c r="AI23" s="131"/>
      <c r="AJ23" s="131"/>
      <c r="AK23" s="131"/>
      <c r="AL23" s="131"/>
      <c r="AM23" s="131"/>
      <c r="AN23" s="131"/>
      <c r="AO23" s="131"/>
      <c r="AP23" s="135"/>
      <c r="AQ23" s="135"/>
      <c r="AR23" s="131"/>
      <c r="AS23" s="131"/>
      <c r="AT23" s="131"/>
      <c r="AU23" s="131"/>
      <c r="AV23" s="131"/>
      <c r="AW23" s="131"/>
      <c r="AX23" s="131"/>
      <c r="AY23" s="131"/>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31"/>
      <c r="CD23" s="131"/>
      <c r="CE23" s="131"/>
      <c r="CF23" s="131"/>
      <c r="CG23" s="131"/>
      <c r="CH23" s="131"/>
      <c r="CI23" s="131"/>
    </row>
    <row r="24" spans="1:87" s="1" customFormat="1" ht="15" x14ac:dyDescent="0.2">
      <c r="A24" s="639"/>
      <c r="B24" s="1811" t="s">
        <v>251</v>
      </c>
      <c r="C24" s="1812"/>
      <c r="D24" s="1812"/>
      <c r="E24" s="1812"/>
      <c r="F24" s="1812"/>
      <c r="G24" s="1830"/>
      <c r="H24" s="1817" t="s">
        <v>252</v>
      </c>
      <c r="I24" s="1805"/>
      <c r="J24" s="639"/>
      <c r="K24" s="1811" t="s">
        <v>251</v>
      </c>
      <c r="L24" s="1812"/>
      <c r="M24" s="1812"/>
      <c r="N24" s="1812"/>
      <c r="O24" s="1812"/>
      <c r="P24" s="1830"/>
      <c r="Q24" s="1817" t="s">
        <v>252</v>
      </c>
      <c r="R24" s="1805"/>
      <c r="S24" s="639"/>
      <c r="T24" s="1811" t="s">
        <v>251</v>
      </c>
      <c r="U24" s="1812"/>
      <c r="V24" s="1812"/>
      <c r="W24" s="1812"/>
      <c r="X24" s="1812"/>
      <c r="Y24" s="1830"/>
      <c r="Z24" s="1817" t="s">
        <v>252</v>
      </c>
      <c r="AA24" s="1805"/>
      <c r="AB24" s="325"/>
      <c r="AC24" s="131"/>
      <c r="AD24" s="131"/>
      <c r="AE24" s="131"/>
      <c r="AF24" s="131"/>
      <c r="AG24" s="131"/>
      <c r="AH24" s="131"/>
      <c r="AI24" s="131"/>
      <c r="AJ24" s="131"/>
      <c r="AK24" s="131"/>
      <c r="AL24" s="131"/>
      <c r="AM24" s="131"/>
      <c r="AN24" s="131"/>
      <c r="AO24" s="131"/>
      <c r="AP24" s="135"/>
      <c r="AQ24" s="135"/>
      <c r="AR24" s="131"/>
      <c r="AS24" s="131"/>
      <c r="AT24" s="131"/>
      <c r="AU24" s="131"/>
      <c r="AV24" s="131"/>
      <c r="AW24" s="131"/>
      <c r="AX24" s="131"/>
      <c r="AY24" s="131"/>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31"/>
      <c r="CD24" s="131"/>
      <c r="CE24" s="131"/>
      <c r="CF24" s="131"/>
      <c r="CG24" s="131"/>
      <c r="CH24" s="131"/>
      <c r="CI24" s="131"/>
    </row>
    <row r="25" spans="1:87" s="1" customFormat="1" ht="18.75" customHeight="1" x14ac:dyDescent="0.25">
      <c r="A25" s="639"/>
      <c r="B25" s="1821" t="str">
        <f>+Profile!I4</f>
        <v/>
      </c>
      <c r="C25" s="1822"/>
      <c r="D25" s="1822"/>
      <c r="E25" s="1822"/>
      <c r="F25" s="1822"/>
      <c r="G25" s="1823"/>
      <c r="H25" s="1798">
        <v>0.5</v>
      </c>
      <c r="I25" s="1799"/>
      <c r="J25" s="639"/>
      <c r="K25" s="1821" t="str">
        <f>+B25</f>
        <v/>
      </c>
      <c r="L25" s="1822"/>
      <c r="M25" s="1822"/>
      <c r="N25" s="1822"/>
      <c r="O25" s="1822"/>
      <c r="P25" s="1823"/>
      <c r="Q25" s="1798">
        <v>0.5</v>
      </c>
      <c r="R25" s="1799"/>
      <c r="S25" s="639"/>
      <c r="T25" s="1821" t="str">
        <f>+K25</f>
        <v/>
      </c>
      <c r="U25" s="1822"/>
      <c r="V25" s="1822"/>
      <c r="W25" s="1822"/>
      <c r="X25" s="1822"/>
      <c r="Y25" s="1823"/>
      <c r="Z25" s="1798">
        <v>0.5</v>
      </c>
      <c r="AA25" s="1799"/>
      <c r="AB25" s="325"/>
      <c r="AC25" s="131"/>
      <c r="AD25" s="131"/>
      <c r="AE25" s="131"/>
      <c r="AF25" s="131"/>
      <c r="AG25" s="131"/>
      <c r="AH25" s="131"/>
      <c r="AI25" s="131"/>
      <c r="AJ25" s="131"/>
      <c r="AK25" s="131"/>
      <c r="AL25" s="131"/>
      <c r="AM25" s="131"/>
      <c r="AN25" s="131"/>
      <c r="AO25" s="131"/>
      <c r="AP25" s="135"/>
      <c r="AQ25" s="135"/>
      <c r="AR25" s="131"/>
      <c r="AS25" s="131"/>
      <c r="AT25" s="131"/>
      <c r="AU25" s="131"/>
      <c r="AV25" s="131"/>
      <c r="AW25" s="131"/>
      <c r="AX25" s="131"/>
      <c r="AY25" s="131"/>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31"/>
      <c r="CD25" s="131"/>
      <c r="CE25" s="131"/>
      <c r="CF25" s="131"/>
      <c r="CG25" s="131"/>
      <c r="CH25" s="131"/>
      <c r="CI25" s="131"/>
    </row>
    <row r="26" spans="1:87" s="1" customFormat="1" ht="18.75" customHeight="1" x14ac:dyDescent="0.25">
      <c r="A26" s="639"/>
      <c r="B26" s="1821" t="str">
        <f>IF(+Profile!T4="","",+Profile!T4)</f>
        <v xml:space="preserve">  </v>
      </c>
      <c r="C26" s="1822"/>
      <c r="D26" s="1822"/>
      <c r="E26" s="1822"/>
      <c r="F26" s="1822"/>
      <c r="G26" s="1823"/>
      <c r="H26" s="1798">
        <v>0.5</v>
      </c>
      <c r="I26" s="1799"/>
      <c r="J26" s="639"/>
      <c r="K26" s="1821" t="str">
        <f>+B26</f>
        <v xml:space="preserve">  </v>
      </c>
      <c r="L26" s="1822"/>
      <c r="M26" s="1822"/>
      <c r="N26" s="1822"/>
      <c r="O26" s="1822"/>
      <c r="P26" s="1823"/>
      <c r="Q26" s="1798">
        <v>0.5</v>
      </c>
      <c r="R26" s="1799"/>
      <c r="S26" s="639"/>
      <c r="T26" s="1821" t="str">
        <f>+K26</f>
        <v xml:space="preserve">  </v>
      </c>
      <c r="U26" s="1822"/>
      <c r="V26" s="1822"/>
      <c r="W26" s="1822"/>
      <c r="X26" s="1822"/>
      <c r="Y26" s="1823"/>
      <c r="Z26" s="1798">
        <v>0.5</v>
      </c>
      <c r="AA26" s="1799"/>
      <c r="AB26" s="325"/>
      <c r="AC26" s="135"/>
      <c r="AD26" s="135"/>
      <c r="AE26" s="135"/>
      <c r="AF26" s="135"/>
      <c r="AG26" s="135"/>
      <c r="AH26" s="135"/>
      <c r="AI26" s="135"/>
      <c r="AJ26" s="135"/>
      <c r="AK26" s="135"/>
      <c r="AL26" s="135"/>
      <c r="AM26" s="135"/>
      <c r="AN26" s="135"/>
      <c r="AO26" s="135"/>
      <c r="AP26" s="135"/>
      <c r="AQ26" s="135"/>
      <c r="AR26" s="131"/>
      <c r="AS26" s="131"/>
      <c r="AT26" s="131"/>
      <c r="AU26" s="131"/>
      <c r="AV26" s="131"/>
      <c r="AW26" s="131"/>
      <c r="AX26" s="131"/>
      <c r="AY26" s="131"/>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31"/>
      <c r="CD26" s="131"/>
      <c r="CE26" s="131"/>
      <c r="CF26" s="131"/>
      <c r="CG26" s="131"/>
      <c r="CH26" s="131"/>
      <c r="CI26" s="131"/>
    </row>
    <row r="27" spans="1:87" s="1" customFormat="1" ht="18.75" customHeight="1" x14ac:dyDescent="0.25">
      <c r="A27" s="639"/>
      <c r="B27" s="1055"/>
      <c r="C27" s="1056"/>
      <c r="D27" s="1056"/>
      <c r="E27" s="1056"/>
      <c r="F27" s="1056"/>
      <c r="G27" s="1056"/>
      <c r="H27" s="1798"/>
      <c r="I27" s="1799"/>
      <c r="J27" s="639"/>
      <c r="K27" s="1055"/>
      <c r="L27" s="1056"/>
      <c r="M27" s="1056"/>
      <c r="N27" s="1056"/>
      <c r="O27" s="1056"/>
      <c r="P27" s="1056"/>
      <c r="Q27" s="1798"/>
      <c r="R27" s="1799"/>
      <c r="S27" s="639"/>
      <c r="T27" s="1055"/>
      <c r="U27" s="1056"/>
      <c r="V27" s="1056"/>
      <c r="W27" s="1056"/>
      <c r="X27" s="1056"/>
      <c r="Y27" s="1056"/>
      <c r="Z27" s="1798"/>
      <c r="AA27" s="1799"/>
      <c r="AB27" s="325"/>
      <c r="AC27" s="135"/>
      <c r="AD27" s="135"/>
      <c r="AE27" s="135"/>
      <c r="AF27" s="135"/>
      <c r="AG27" s="135"/>
      <c r="AH27" s="135"/>
      <c r="AI27" s="135"/>
      <c r="AJ27" s="135"/>
      <c r="AK27" s="135"/>
      <c r="AL27" s="135"/>
      <c r="AM27" s="135"/>
      <c r="AN27" s="135"/>
      <c r="AO27" s="135"/>
      <c r="AP27" s="135"/>
      <c r="AQ27" s="135"/>
      <c r="AR27" s="131"/>
      <c r="AS27" s="131"/>
      <c r="AT27" s="131"/>
      <c r="AU27" s="131"/>
      <c r="AV27" s="131"/>
      <c r="AW27" s="131"/>
      <c r="AX27" s="131"/>
      <c r="AY27" s="131"/>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31"/>
      <c r="CD27" s="131"/>
      <c r="CE27" s="131"/>
      <c r="CF27" s="131"/>
      <c r="CG27" s="131"/>
      <c r="CH27" s="131"/>
      <c r="CI27" s="131"/>
    </row>
    <row r="28" spans="1:87" s="1" customFormat="1" ht="18.75" customHeight="1" x14ac:dyDescent="0.25">
      <c r="A28" s="639"/>
      <c r="B28" s="1065"/>
      <c r="C28" s="1056"/>
      <c r="D28" s="1056"/>
      <c r="E28" s="1056"/>
      <c r="F28" s="1056"/>
      <c r="G28" s="1056"/>
      <c r="H28" s="1798"/>
      <c r="I28" s="1799"/>
      <c r="J28" s="639"/>
      <c r="K28" s="1065"/>
      <c r="L28" s="1056"/>
      <c r="M28" s="1056"/>
      <c r="N28" s="1056"/>
      <c r="O28" s="1056"/>
      <c r="P28" s="1056"/>
      <c r="Q28" s="1798"/>
      <c r="R28" s="1799"/>
      <c r="S28" s="639"/>
      <c r="T28" s="1065"/>
      <c r="U28" s="1056"/>
      <c r="V28" s="1056"/>
      <c r="W28" s="1056"/>
      <c r="X28" s="1056"/>
      <c r="Y28" s="1056"/>
      <c r="Z28" s="1798"/>
      <c r="AA28" s="1799"/>
      <c r="AB28" s="325"/>
      <c r="AC28" s="135"/>
      <c r="AD28" s="135"/>
      <c r="AE28" s="135"/>
      <c r="AF28" s="135"/>
      <c r="AG28" s="135"/>
      <c r="AH28" s="135"/>
      <c r="AI28" s="135"/>
      <c r="AJ28" s="135"/>
      <c r="AK28" s="135"/>
      <c r="AL28" s="135"/>
      <c r="AM28" s="135"/>
      <c r="AN28" s="135"/>
      <c r="AO28" s="135"/>
      <c r="AP28" s="135"/>
      <c r="AQ28" s="135"/>
      <c r="AR28" s="131"/>
      <c r="AS28" s="131"/>
      <c r="AT28" s="131"/>
      <c r="AU28" s="131"/>
      <c r="AV28" s="131"/>
      <c r="AW28" s="131"/>
      <c r="AX28" s="131"/>
      <c r="AY28" s="131"/>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31"/>
      <c r="CD28" s="131"/>
      <c r="CE28" s="131"/>
      <c r="CF28" s="131"/>
      <c r="CG28" s="131"/>
      <c r="CH28" s="131"/>
      <c r="CI28" s="131"/>
    </row>
    <row r="29" spans="1:87" ht="26.25" x14ac:dyDescent="0.4">
      <c r="A29" s="639"/>
      <c r="B29" s="1806" t="s">
        <v>1143</v>
      </c>
      <c r="C29" s="1806"/>
      <c r="D29" s="1806"/>
      <c r="E29" s="1806"/>
      <c r="F29" s="1806"/>
      <c r="G29" s="1806"/>
      <c r="H29" s="1806"/>
      <c r="I29" s="1806"/>
      <c r="J29" s="639"/>
      <c r="K29" s="1806" t="s">
        <v>1143</v>
      </c>
      <c r="L29" s="1806"/>
      <c r="M29" s="1806"/>
      <c r="N29" s="1806"/>
      <c r="O29" s="1806"/>
      <c r="P29" s="1806"/>
      <c r="Q29" s="1806"/>
      <c r="R29" s="1806"/>
      <c r="S29" s="639"/>
      <c r="T29" s="1806" t="s">
        <v>1143</v>
      </c>
      <c r="U29" s="1806"/>
      <c r="V29" s="1806"/>
      <c r="W29" s="1806"/>
      <c r="X29" s="1806"/>
      <c r="Y29" s="1806"/>
      <c r="Z29" s="1806"/>
      <c r="AA29" s="1806"/>
      <c r="AB29" s="1"/>
    </row>
    <row r="30" spans="1:87" ht="15" x14ac:dyDescent="0.2">
      <c r="A30" s="639"/>
      <c r="B30" s="683" t="s">
        <v>200</v>
      </c>
      <c r="C30" s="683" t="s">
        <v>210</v>
      </c>
      <c r="D30" s="683" t="s">
        <v>201</v>
      </c>
      <c r="F30" s="1808" t="s">
        <v>1152</v>
      </c>
      <c r="G30" s="1809"/>
      <c r="H30" s="1808" t="s">
        <v>1150</v>
      </c>
      <c r="I30" s="1809"/>
      <c r="J30" s="639"/>
      <c r="K30" s="683" t="s">
        <v>200</v>
      </c>
      <c r="L30" s="683" t="s">
        <v>210</v>
      </c>
      <c r="M30" s="683" t="s">
        <v>201</v>
      </c>
      <c r="O30" s="1808" t="s">
        <v>1152</v>
      </c>
      <c r="P30" s="1809"/>
      <c r="Q30" s="1808" t="s">
        <v>1150</v>
      </c>
      <c r="R30" s="1809"/>
      <c r="S30" s="639"/>
      <c r="T30" s="683" t="s">
        <v>200</v>
      </c>
      <c r="U30" s="683" t="s">
        <v>210</v>
      </c>
      <c r="V30" s="683" t="s">
        <v>201</v>
      </c>
      <c r="X30" s="1808" t="s">
        <v>1152</v>
      </c>
      <c r="Y30" s="1809"/>
      <c r="Z30" s="1808" t="s">
        <v>1150</v>
      </c>
      <c r="AA30" s="1809"/>
      <c r="AB30" s="49"/>
    </row>
    <row r="31" spans="1:87" ht="18.75" customHeight="1" x14ac:dyDescent="0.25">
      <c r="A31" s="639"/>
      <c r="B31" s="332"/>
      <c r="C31" s="332"/>
      <c r="D31" s="332"/>
      <c r="F31" s="1810">
        <v>797</v>
      </c>
      <c r="G31" s="1810"/>
      <c r="H31" s="1810"/>
      <c r="I31" s="1810"/>
      <c r="J31" s="639"/>
      <c r="K31" s="332"/>
      <c r="L31" s="332"/>
      <c r="M31" s="332"/>
      <c r="O31" s="1810"/>
      <c r="P31" s="1810"/>
      <c r="Q31" s="1810"/>
      <c r="R31" s="1810"/>
      <c r="S31" s="639"/>
      <c r="T31" s="332"/>
      <c r="U31" s="332"/>
      <c r="V31" s="332"/>
      <c r="X31" s="1810"/>
      <c r="Y31" s="1810"/>
      <c r="Z31" s="1810"/>
      <c r="AA31" s="1810"/>
      <c r="AB31" s="49"/>
    </row>
    <row r="32" spans="1:87" s="27" customFormat="1" ht="15" customHeight="1" x14ac:dyDescent="0.2">
      <c r="A32" s="1079"/>
      <c r="B32" s="1800" t="s">
        <v>211</v>
      </c>
      <c r="C32" s="1800"/>
      <c r="D32" s="1800"/>
      <c r="E32" s="1066"/>
      <c r="F32" s="1078"/>
      <c r="G32" s="1080" t="s">
        <v>1148</v>
      </c>
      <c r="H32" s="1080" t="s">
        <v>1151</v>
      </c>
      <c r="I32" s="1080" t="s">
        <v>1149</v>
      </c>
      <c r="J32" s="1079"/>
      <c r="K32" s="1801" t="s">
        <v>211</v>
      </c>
      <c r="L32" s="1801"/>
      <c r="M32" s="1801"/>
      <c r="N32" s="1066"/>
      <c r="O32" s="1078"/>
      <c r="P32" s="1080" t="s">
        <v>1148</v>
      </c>
      <c r="Q32" s="1080" t="s">
        <v>1151</v>
      </c>
      <c r="R32" s="1080" t="s">
        <v>1149</v>
      </c>
      <c r="S32" s="1079"/>
      <c r="T32" s="1801" t="s">
        <v>211</v>
      </c>
      <c r="U32" s="1801"/>
      <c r="V32" s="1801"/>
      <c r="W32" s="1066"/>
      <c r="X32" s="1078"/>
      <c r="Y32" s="1080" t="s">
        <v>1148</v>
      </c>
      <c r="Z32" s="1080" t="s">
        <v>1151</v>
      </c>
      <c r="AA32" s="1080" t="s">
        <v>1149</v>
      </c>
      <c r="AB32" s="49"/>
      <c r="AC32" s="1077"/>
      <c r="AD32" s="1077"/>
      <c r="AE32" s="1077"/>
      <c r="AF32" s="1077"/>
      <c r="AG32" s="1077"/>
      <c r="AH32" s="1077"/>
      <c r="AI32" s="1077"/>
      <c r="AJ32" s="1077"/>
      <c r="AK32" s="1077"/>
      <c r="AL32" s="1077"/>
      <c r="AM32" s="1077"/>
      <c r="AN32" s="1077"/>
      <c r="AO32" s="1077"/>
      <c r="AP32" s="1077"/>
      <c r="AQ32" s="1077"/>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s="153"/>
      <c r="BS32" s="153"/>
      <c r="BT32" s="153"/>
      <c r="BU32" s="153"/>
      <c r="BV32" s="153"/>
      <c r="BW32" s="153"/>
      <c r="BX32" s="153"/>
      <c r="BY32" s="153"/>
      <c r="BZ32" s="153"/>
      <c r="CA32" s="153"/>
      <c r="CB32" s="153"/>
      <c r="CC32" s="153"/>
      <c r="CD32" s="153"/>
      <c r="CE32" s="153"/>
      <c r="CF32" s="153"/>
      <c r="CG32" s="153"/>
      <c r="CH32" s="153"/>
      <c r="CI32" s="153"/>
    </row>
    <row r="33" spans="1:27" ht="18.75" customHeight="1" x14ac:dyDescent="0.25">
      <c r="A33" s="30"/>
      <c r="B33" s="1839" t="s">
        <v>505</v>
      </c>
      <c r="C33" s="1840"/>
      <c r="D33" s="1840"/>
      <c r="E33" s="1840"/>
      <c r="F33" s="1841"/>
      <c r="G33" s="956"/>
      <c r="H33" s="956"/>
      <c r="I33" s="956"/>
      <c r="J33" s="30"/>
      <c r="K33" s="1839" t="s">
        <v>505</v>
      </c>
      <c r="L33" s="1840"/>
      <c r="M33" s="1840"/>
      <c r="N33" s="1840"/>
      <c r="O33" s="1841"/>
      <c r="P33" s="956"/>
      <c r="Q33" s="956"/>
      <c r="R33" s="956"/>
      <c r="S33" s="30"/>
      <c r="T33" s="1839" t="s">
        <v>505</v>
      </c>
      <c r="U33" s="1840"/>
      <c r="V33" s="1840"/>
      <c r="W33" s="1840"/>
      <c r="X33" s="1841"/>
      <c r="Y33" s="956"/>
      <c r="Z33" s="956"/>
      <c r="AA33" s="956"/>
    </row>
    <row r="34" spans="1:27" ht="22.5" customHeight="1" x14ac:dyDescent="0.25">
      <c r="B34" s="1542" t="s">
        <v>259</v>
      </c>
      <c r="C34" s="1543"/>
      <c r="D34" s="1543"/>
      <c r="E34" s="1543"/>
      <c r="F34" s="1544"/>
      <c r="G34" s="1836" t="s">
        <v>20</v>
      </c>
      <c r="H34" s="1837"/>
      <c r="I34" s="1838"/>
      <c r="K34" s="1542" t="s">
        <v>259</v>
      </c>
      <c r="L34" s="1543"/>
      <c r="M34" s="1543"/>
      <c r="N34" s="1543"/>
      <c r="O34" s="1544"/>
      <c r="P34" s="1836" t="s">
        <v>20</v>
      </c>
      <c r="Q34" s="1837"/>
      <c r="R34" s="1838"/>
      <c r="T34" s="1542" t="s">
        <v>259</v>
      </c>
      <c r="U34" s="1543"/>
      <c r="V34" s="1543"/>
      <c r="W34" s="1543"/>
      <c r="X34" s="1544"/>
      <c r="Y34" s="1836" t="s">
        <v>20</v>
      </c>
      <c r="Z34" s="1837"/>
      <c r="AA34" s="1838"/>
    </row>
    <row r="35" spans="1:27" ht="60" customHeight="1" x14ac:dyDescent="0.25">
      <c r="B35" s="1832"/>
      <c r="C35" s="1833"/>
      <c r="D35" s="1833"/>
      <c r="E35" s="1833"/>
      <c r="F35" s="1833"/>
      <c r="G35" s="1834"/>
      <c r="H35" s="1834"/>
      <c r="I35" s="1835"/>
      <c r="K35" s="1832"/>
      <c r="L35" s="1833"/>
      <c r="M35" s="1833"/>
      <c r="N35" s="1833"/>
      <c r="O35" s="1833"/>
      <c r="P35" s="1834"/>
      <c r="Q35" s="1834"/>
      <c r="R35" s="1835"/>
      <c r="T35" s="1832"/>
      <c r="U35" s="1833"/>
      <c r="V35" s="1833"/>
      <c r="W35" s="1833"/>
      <c r="X35" s="1833"/>
      <c r="Y35" s="1834"/>
      <c r="Z35" s="1834"/>
      <c r="AA35" s="1835"/>
    </row>
    <row r="36" spans="1:27" ht="18.75" customHeight="1" x14ac:dyDescent="0.25">
      <c r="Q36" s="21"/>
    </row>
  </sheetData>
  <mergeCells count="141">
    <mergeCell ref="B35:I35"/>
    <mergeCell ref="G34:I34"/>
    <mergeCell ref="H28:I28"/>
    <mergeCell ref="T25:Y25"/>
    <mergeCell ref="Z25:AA25"/>
    <mergeCell ref="T20:U20"/>
    <mergeCell ref="T34:X34"/>
    <mergeCell ref="Y34:AA34"/>
    <mergeCell ref="T35:AA35"/>
    <mergeCell ref="B33:F33"/>
    <mergeCell ref="K33:O33"/>
    <mergeCell ref="T33:X33"/>
    <mergeCell ref="T26:Y26"/>
    <mergeCell ref="Z26:AA26"/>
    <mergeCell ref="Z27:AA27"/>
    <mergeCell ref="Z28:AA28"/>
    <mergeCell ref="T29:AA29"/>
    <mergeCell ref="X30:Y30"/>
    <mergeCell ref="Z30:AA30"/>
    <mergeCell ref="X31:Y31"/>
    <mergeCell ref="Z31:AA31"/>
    <mergeCell ref="K34:O34"/>
    <mergeCell ref="P34:R34"/>
    <mergeCell ref="K35:R35"/>
    <mergeCell ref="B34:F34"/>
    <mergeCell ref="H30:I30"/>
    <mergeCell ref="H31:I31"/>
    <mergeCell ref="T6:AA6"/>
    <mergeCell ref="T7:AA7"/>
    <mergeCell ref="T8:V8"/>
    <mergeCell ref="W8:X8"/>
    <mergeCell ref="Y8:AA8"/>
    <mergeCell ref="T9:V9"/>
    <mergeCell ref="W9:X9"/>
    <mergeCell ref="Y9:AA9"/>
    <mergeCell ref="T10:AA10"/>
    <mergeCell ref="K26:P26"/>
    <mergeCell ref="Q26:R26"/>
    <mergeCell ref="Q27:R27"/>
    <mergeCell ref="Q28:R28"/>
    <mergeCell ref="K29:R29"/>
    <mergeCell ref="O30:P30"/>
    <mergeCell ref="Q30:R30"/>
    <mergeCell ref="U11:AA11"/>
    <mergeCell ref="U12:AA12"/>
    <mergeCell ref="U13:AA13"/>
    <mergeCell ref="U14:AA14"/>
    <mergeCell ref="T15:AA15"/>
    <mergeCell ref="U16:AA16"/>
    <mergeCell ref="U17:AA17"/>
    <mergeCell ref="T18:AA18"/>
    <mergeCell ref="U19:AA19"/>
    <mergeCell ref="V20:AA20"/>
    <mergeCell ref="T21:U21"/>
    <mergeCell ref="V21:AA21"/>
    <mergeCell ref="T22:U22"/>
    <mergeCell ref="V22:AA22"/>
    <mergeCell ref="T23:AA23"/>
    <mergeCell ref="T24:Y24"/>
    <mergeCell ref="Z24:AA24"/>
    <mergeCell ref="K21:L21"/>
    <mergeCell ref="M21:R21"/>
    <mergeCell ref="K22:L22"/>
    <mergeCell ref="M22:R22"/>
    <mergeCell ref="K23:R23"/>
    <mergeCell ref="K24:P24"/>
    <mergeCell ref="Q24:R24"/>
    <mergeCell ref="B26:G26"/>
    <mergeCell ref="K25:P25"/>
    <mergeCell ref="Q25:R25"/>
    <mergeCell ref="K9:M9"/>
    <mergeCell ref="N9:O9"/>
    <mergeCell ref="P9:R9"/>
    <mergeCell ref="B18:I18"/>
    <mergeCell ref="B20:C20"/>
    <mergeCell ref="B21:C21"/>
    <mergeCell ref="B24:G24"/>
    <mergeCell ref="B25:G25"/>
    <mergeCell ref="H24:I24"/>
    <mergeCell ref="B23:I23"/>
    <mergeCell ref="K10:R10"/>
    <mergeCell ref="L11:R11"/>
    <mergeCell ref="L12:R12"/>
    <mergeCell ref="L13:R13"/>
    <mergeCell ref="L14:R14"/>
    <mergeCell ref="K15:R15"/>
    <mergeCell ref="L17:R17"/>
    <mergeCell ref="K18:R18"/>
    <mergeCell ref="L19:R19"/>
    <mergeCell ref="K20:L20"/>
    <mergeCell ref="M20:R20"/>
    <mergeCell ref="C14:I14"/>
    <mergeCell ref="H3:Q3"/>
    <mergeCell ref="D20:I20"/>
    <mergeCell ref="D21:I21"/>
    <mergeCell ref="K6:R6"/>
    <mergeCell ref="K7:R7"/>
    <mergeCell ref="K8:M8"/>
    <mergeCell ref="N8:O8"/>
    <mergeCell ref="P8:R8"/>
    <mergeCell ref="C16:I16"/>
    <mergeCell ref="AC1:AX1"/>
    <mergeCell ref="G9:I9"/>
    <mergeCell ref="B9:D9"/>
    <mergeCell ref="B5:Z5"/>
    <mergeCell ref="A2:AB2"/>
    <mergeCell ref="B3:F3"/>
    <mergeCell ref="B8:D8"/>
    <mergeCell ref="R3:T3"/>
    <mergeCell ref="U3:Z3"/>
    <mergeCell ref="R4:T4"/>
    <mergeCell ref="U4:Y4"/>
    <mergeCell ref="E9:F9"/>
    <mergeCell ref="A1:T1"/>
    <mergeCell ref="B7:I7"/>
    <mergeCell ref="B6:I6"/>
    <mergeCell ref="E8:F8"/>
    <mergeCell ref="D22:I22"/>
    <mergeCell ref="H25:I25"/>
    <mergeCell ref="H26:I26"/>
    <mergeCell ref="B32:D32"/>
    <mergeCell ref="K32:M32"/>
    <mergeCell ref="T32:V32"/>
    <mergeCell ref="AD22:AX22"/>
    <mergeCell ref="AD19:AX19"/>
    <mergeCell ref="G8:I8"/>
    <mergeCell ref="C11:I11"/>
    <mergeCell ref="L16:R16"/>
    <mergeCell ref="B15:I15"/>
    <mergeCell ref="B22:C22"/>
    <mergeCell ref="C17:I17"/>
    <mergeCell ref="C19:I19"/>
    <mergeCell ref="F30:G30"/>
    <mergeCell ref="F31:G31"/>
    <mergeCell ref="O31:P31"/>
    <mergeCell ref="Q31:R31"/>
    <mergeCell ref="H27:I27"/>
    <mergeCell ref="B29:I29"/>
    <mergeCell ref="B10:I10"/>
    <mergeCell ref="C12:I12"/>
    <mergeCell ref="C13:I13"/>
  </mergeCells>
  <conditionalFormatting sqref="B11:B14">
    <cfRule type="iconSet" priority="40">
      <iconSet iconSet="3Symbols2" showValue="0">
        <cfvo type="percent" val="0"/>
        <cfvo type="num" val="0.5"/>
        <cfvo type="num" val="1"/>
      </iconSet>
    </cfRule>
  </conditionalFormatting>
  <conditionalFormatting sqref="B16">
    <cfRule type="iconSet" priority="39">
      <iconSet iconSet="3Symbols2" showValue="0">
        <cfvo type="percent" val="0"/>
        <cfvo type="num" val="0.5"/>
        <cfvo type="num" val="1"/>
      </iconSet>
    </cfRule>
  </conditionalFormatting>
  <conditionalFormatting sqref="B17">
    <cfRule type="iconSet" priority="38">
      <iconSet iconSet="3Symbols2" showValue="0">
        <cfvo type="percent" val="0"/>
        <cfvo type="num" val="0.5"/>
        <cfvo type="num" val="1"/>
      </iconSet>
    </cfRule>
  </conditionalFormatting>
  <conditionalFormatting sqref="B19">
    <cfRule type="iconSet" priority="37">
      <iconSet iconSet="3Symbols2" showValue="0">
        <cfvo type="percent" val="0"/>
        <cfvo type="num" val="0.5"/>
        <cfvo type="num" val="1"/>
      </iconSet>
    </cfRule>
  </conditionalFormatting>
  <conditionalFormatting sqref="I33">
    <cfRule type="iconSet" priority="33">
      <iconSet iconSet="3Symbols2" showValue="0">
        <cfvo type="percent" val="0"/>
        <cfvo type="num" val="0.5"/>
        <cfvo type="num" val="1"/>
      </iconSet>
    </cfRule>
  </conditionalFormatting>
  <conditionalFormatting sqref="H33">
    <cfRule type="iconSet" priority="30">
      <iconSet iconSet="3Symbols2" showValue="0">
        <cfvo type="percent" val="0"/>
        <cfvo type="num" val="0.5"/>
        <cfvo type="num" val="1"/>
      </iconSet>
    </cfRule>
  </conditionalFormatting>
  <conditionalFormatting sqref="G33">
    <cfRule type="iconSet" priority="29">
      <iconSet iconSet="3Symbols2" showValue="0">
        <cfvo type="percent" val="0"/>
        <cfvo type="num" val="0.5"/>
        <cfvo type="num" val="1"/>
      </iconSet>
    </cfRule>
  </conditionalFormatting>
  <conditionalFormatting sqref="K11:K14">
    <cfRule type="iconSet" priority="26">
      <iconSet iconSet="3Symbols2" showValue="0">
        <cfvo type="percent" val="0"/>
        <cfvo type="num" val="0.5"/>
        <cfvo type="num" val="1"/>
      </iconSet>
    </cfRule>
  </conditionalFormatting>
  <conditionalFormatting sqref="K16">
    <cfRule type="iconSet" priority="25">
      <iconSet iconSet="3Symbols2" showValue="0">
        <cfvo type="percent" val="0"/>
        <cfvo type="num" val="0.5"/>
        <cfvo type="num" val="1"/>
      </iconSet>
    </cfRule>
  </conditionalFormatting>
  <conditionalFormatting sqref="K17">
    <cfRule type="iconSet" priority="24">
      <iconSet iconSet="3Symbols2" showValue="0">
        <cfvo type="percent" val="0"/>
        <cfvo type="num" val="0.5"/>
        <cfvo type="num" val="1"/>
      </iconSet>
    </cfRule>
  </conditionalFormatting>
  <conditionalFormatting sqref="K19">
    <cfRule type="iconSet" priority="23">
      <iconSet iconSet="3Symbols2" showValue="0">
        <cfvo type="percent" val="0"/>
        <cfvo type="num" val="0.5"/>
        <cfvo type="num" val="1"/>
      </iconSet>
    </cfRule>
  </conditionalFormatting>
  <conditionalFormatting sqref="R33">
    <cfRule type="iconSet" priority="22">
      <iconSet iconSet="3Symbols2" showValue="0">
        <cfvo type="percent" val="0"/>
        <cfvo type="num" val="0.5"/>
        <cfvo type="num" val="1"/>
      </iconSet>
    </cfRule>
  </conditionalFormatting>
  <conditionalFormatting sqref="Q33">
    <cfRule type="iconSet" priority="21">
      <iconSet iconSet="3Symbols2" showValue="0">
        <cfvo type="percent" val="0"/>
        <cfvo type="num" val="0.5"/>
        <cfvo type="num" val="1"/>
      </iconSet>
    </cfRule>
  </conditionalFormatting>
  <conditionalFormatting sqref="P33">
    <cfRule type="iconSet" priority="20">
      <iconSet iconSet="3Symbols2" showValue="0">
        <cfvo type="percent" val="0"/>
        <cfvo type="num" val="0.5"/>
        <cfvo type="num" val="1"/>
      </iconSet>
    </cfRule>
  </conditionalFormatting>
  <conditionalFormatting sqref="T11:T14">
    <cfRule type="iconSet" priority="17">
      <iconSet iconSet="3Symbols2" showValue="0">
        <cfvo type="percent" val="0"/>
        <cfvo type="num" val="0.5"/>
        <cfvo type="num" val="1"/>
      </iconSet>
    </cfRule>
  </conditionalFormatting>
  <conditionalFormatting sqref="T16">
    <cfRule type="iconSet" priority="16">
      <iconSet iconSet="3Symbols2" showValue="0">
        <cfvo type="percent" val="0"/>
        <cfvo type="num" val="0.5"/>
        <cfvo type="num" val="1"/>
      </iconSet>
    </cfRule>
  </conditionalFormatting>
  <conditionalFormatting sqref="T17">
    <cfRule type="iconSet" priority="15">
      <iconSet iconSet="3Symbols2" showValue="0">
        <cfvo type="percent" val="0"/>
        <cfvo type="num" val="0.5"/>
        <cfvo type="num" val="1"/>
      </iconSet>
    </cfRule>
  </conditionalFormatting>
  <conditionalFormatting sqref="T19">
    <cfRule type="iconSet" priority="14">
      <iconSet iconSet="3Symbols2" showValue="0">
        <cfvo type="percent" val="0"/>
        <cfvo type="num" val="0.5"/>
        <cfvo type="num" val="1"/>
      </iconSet>
    </cfRule>
  </conditionalFormatting>
  <conditionalFormatting sqref="AA33">
    <cfRule type="iconSet" priority="13">
      <iconSet iconSet="3Symbols2" showValue="0">
        <cfvo type="percent" val="0"/>
        <cfvo type="num" val="0.5"/>
        <cfvo type="num" val="1"/>
      </iconSet>
    </cfRule>
  </conditionalFormatting>
  <conditionalFormatting sqref="Z33">
    <cfRule type="iconSet" priority="12">
      <iconSet iconSet="3Symbols2" showValue="0">
        <cfvo type="percent" val="0"/>
        <cfvo type="num" val="0.5"/>
        <cfvo type="num" val="1"/>
      </iconSet>
    </cfRule>
  </conditionalFormatting>
  <conditionalFormatting sqref="Y33">
    <cfRule type="iconSet" priority="11">
      <iconSet iconSet="3Symbols2" showValue="0">
        <cfvo type="percent" val="0"/>
        <cfvo type="num" val="0.5"/>
        <cfvo type="num" val="1"/>
      </iconSet>
    </cfRule>
  </conditionalFormatting>
  <conditionalFormatting sqref="K9:R9 K11:R14 K16:R17 K19:R19 M20:R22 K25:R28 K31:M31 O31:R31 P33:R33">
    <cfRule type="expression" dxfId="154" priority="10">
      <formula>$K$7=""</formula>
    </cfRule>
  </conditionalFormatting>
  <conditionalFormatting sqref="T9:AA9 T11:AA14 T16:AA17 T19:AA19 V20:AA22 T25:AA28 T31:V31 X31:AA31 Y33:AA33">
    <cfRule type="expression" dxfId="153" priority="9">
      <formula>$T$7=""</formula>
    </cfRule>
  </conditionalFormatting>
  <conditionalFormatting sqref="B9:I9 B11:I14 B16:I17 B19:I19 D20:I22 B25:I28 B31:D31 F31:I31 G33:I33">
    <cfRule type="expression" dxfId="152" priority="8">
      <formula>$B$7=""</formula>
    </cfRule>
  </conditionalFormatting>
  <conditionalFormatting sqref="B11:B14 B16:B17">
    <cfRule type="expression" dxfId="151" priority="7">
      <formula>$B$7=""</formula>
    </cfRule>
  </conditionalFormatting>
  <conditionalFormatting sqref="K33">
    <cfRule type="expression" dxfId="150" priority="5">
      <formula>$B33="Lot/DP"</formula>
    </cfRule>
  </conditionalFormatting>
  <conditionalFormatting sqref="K34">
    <cfRule type="expression" dxfId="149" priority="6">
      <formula>$B34="Property Type"</formula>
    </cfRule>
  </conditionalFormatting>
  <conditionalFormatting sqref="T33">
    <cfRule type="expression" dxfId="148" priority="3">
      <formula>$B33="Lot/DP"</formula>
    </cfRule>
  </conditionalFormatting>
  <conditionalFormatting sqref="T34">
    <cfRule type="expression" dxfId="147" priority="4">
      <formula>$B34="Property Type"</formula>
    </cfRule>
  </conditionalFormatting>
  <conditionalFormatting sqref="B33">
    <cfRule type="expression" dxfId="146" priority="1">
      <formula>$B33="Lot/DP"</formula>
    </cfRule>
  </conditionalFormatting>
  <conditionalFormatting sqref="B34">
    <cfRule type="expression" dxfId="145" priority="2">
      <formula>$B34="Property Type"</formula>
    </cfRule>
  </conditionalFormatting>
  <hyperlinks>
    <hyperlink ref="AD6" r:id="rId1"/>
  </hyperlinks>
  <printOptions horizontalCentered="1"/>
  <pageMargins left="0.23622047244094491" right="0.23622047244094491" top="0.74803149606299213" bottom="0.74803149606299213" header="0.31496062992125984" footer="0"/>
  <pageSetup paperSize="9" scale="98" orientation="portrait" r:id="rId2"/>
  <headerFooter alignWithMargins="0">
    <oddHeader>&amp;C&amp;G</oddHeader>
    <oddFooter>&amp;R&amp;G</oddFooter>
  </headerFooter>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Settings!$AB$44:$AB$50</xm:f>
          </x14:formula1>
          <xm:sqref>E9 N9 W9</xm:sqref>
        </x14:dataValidation>
        <x14:dataValidation type="list" allowBlank="1" showInputMessage="1" showErrorMessage="1">
          <x14:formula1>
            <xm:f>Settings!$AC$44:$AC$53</xm:f>
          </x14:formula1>
          <xm:sqref>T34 K34 B34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BU481"/>
  <sheetViews>
    <sheetView showGridLines="0" showRuler="0" zoomScaleNormal="100" workbookViewId="0">
      <selection activeCell="E25" sqref="E25:M25"/>
    </sheetView>
  </sheetViews>
  <sheetFormatPr defaultColWidth="3.5703125" defaultRowHeight="18.75" customHeight="1" x14ac:dyDescent="0.25"/>
  <cols>
    <col min="1" max="1" width="3.5703125" style="29"/>
    <col min="2" max="2" width="3.85546875" style="29" customWidth="1"/>
    <col min="3" max="4" width="3.5703125" style="29"/>
    <col min="5" max="13" width="3" style="29" customWidth="1"/>
    <col min="14" max="15" width="4.42578125" style="29" customWidth="1"/>
    <col min="16" max="17" width="2.85546875" style="29" customWidth="1"/>
    <col min="18" max="18" width="4.28515625" style="32" customWidth="1"/>
    <col min="19" max="21" width="4.28515625" style="29" customWidth="1"/>
    <col min="22" max="23" width="2.7109375" style="29" customWidth="1"/>
    <col min="24" max="25" width="3.5703125" style="29"/>
    <col min="26" max="26" width="2.7109375" style="33" bestFit="1" customWidth="1"/>
    <col min="27" max="27" width="0.7109375" style="29" customWidth="1"/>
    <col min="28" max="28" width="6.28515625" style="29" bestFit="1" customWidth="1"/>
    <col min="29" max="29" width="0.7109375" style="29" customWidth="1"/>
    <col min="30" max="30" width="4.28515625" style="107" customWidth="1"/>
    <col min="31" max="31" width="2.28515625" style="107" customWidth="1"/>
    <col min="32" max="32" width="5.140625" style="107" bestFit="1" customWidth="1"/>
    <col min="33" max="33" width="10" style="107" customWidth="1"/>
    <col min="34" max="34" width="6.7109375" style="107" customWidth="1"/>
    <col min="35" max="35" width="6.42578125" style="94" customWidth="1"/>
    <col min="36" max="38" width="6.5703125" style="94" customWidth="1"/>
    <col min="39" max="39" width="2.5703125" style="94" customWidth="1"/>
    <col min="40" max="41" width="5.5703125" style="94" customWidth="1"/>
    <col min="42" max="42" width="6.28515625" style="94" bestFit="1" customWidth="1"/>
    <col min="43" max="43" width="3.5703125" style="94"/>
    <col min="44" max="44" width="5.140625" style="94" hidden="1" customWidth="1"/>
    <col min="45" max="45" width="8.28515625" style="94" customWidth="1"/>
    <col min="46" max="46" width="3.140625" style="94" customWidth="1"/>
    <col min="47" max="47" width="7.5703125" style="94" bestFit="1" customWidth="1"/>
    <col min="48" max="49" width="3.5703125" style="94"/>
    <col min="50" max="52" width="3.5703125" style="128"/>
    <col min="53" max="53" width="5" style="128" bestFit="1" customWidth="1"/>
    <col min="54" max="54" width="3.5703125" style="128"/>
    <col min="55" max="55" width="6.5703125" style="128" bestFit="1" customWidth="1"/>
    <col min="56" max="58" width="3.5703125" style="128"/>
    <col min="59" max="59" width="8.5703125" style="128" bestFit="1" customWidth="1"/>
    <col min="60" max="61" width="3.5703125" style="128"/>
    <col min="62" max="16384" width="3.5703125" style="29"/>
  </cols>
  <sheetData>
    <row r="1" spans="1:73" ht="48" customHeight="1" x14ac:dyDescent="0.25">
      <c r="A1" s="1622" t="s">
        <v>155</v>
      </c>
      <c r="B1" s="1622"/>
      <c r="C1" s="1622"/>
      <c r="D1" s="1622"/>
      <c r="E1" s="1622"/>
      <c r="F1" s="1622"/>
      <c r="G1" s="1622"/>
      <c r="H1" s="1622"/>
      <c r="I1" s="1622"/>
      <c r="J1" s="1622"/>
      <c r="K1" s="1622"/>
      <c r="L1" s="1622"/>
      <c r="M1" s="1622"/>
      <c r="N1" s="1622"/>
      <c r="O1" s="1622"/>
      <c r="P1" s="1856"/>
      <c r="Q1" s="1856"/>
    </row>
    <row r="2" spans="1:73" s="33" customFormat="1" ht="6" customHeight="1" thickBot="1" x14ac:dyDescent="0.3">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692"/>
      <c r="AC2" s="692"/>
      <c r="AD2" s="692"/>
      <c r="AE2" s="107"/>
      <c r="AF2" s="107"/>
      <c r="AG2" s="655"/>
      <c r="AH2" s="655"/>
      <c r="AI2" s="1007"/>
      <c r="AJ2" s="94"/>
      <c r="AK2" s="94"/>
      <c r="AL2" s="94"/>
      <c r="AM2" s="94"/>
      <c r="AN2" s="94"/>
      <c r="AO2" s="94"/>
      <c r="AP2" s="94"/>
      <c r="AQ2" s="94"/>
      <c r="AR2" s="94"/>
      <c r="AS2" s="94"/>
      <c r="AT2" s="94"/>
      <c r="AU2" s="94"/>
      <c r="AV2" s="94"/>
      <c r="AW2" s="94"/>
      <c r="AX2" s="128"/>
      <c r="AY2" s="128"/>
      <c r="AZ2" s="128"/>
      <c r="BA2" s="128"/>
      <c r="BB2" s="128"/>
      <c r="BC2" s="128"/>
      <c r="BD2" s="128"/>
      <c r="BE2" s="128"/>
      <c r="BF2" s="128"/>
      <c r="BG2" s="128"/>
      <c r="BH2" s="128"/>
      <c r="BI2" s="128"/>
      <c r="BJ2" s="29"/>
      <c r="BK2" s="597"/>
      <c r="BL2" s="597"/>
      <c r="BM2" s="597"/>
      <c r="BN2" s="597"/>
      <c r="BO2" s="597"/>
      <c r="BP2" s="597"/>
      <c r="BQ2" s="597"/>
      <c r="BR2" s="597"/>
      <c r="BS2" s="597"/>
      <c r="BT2" s="597"/>
      <c r="BU2" s="597"/>
    </row>
    <row r="3" spans="1:73" ht="14.65" customHeight="1" x14ac:dyDescent="0.25">
      <c r="A3" s="1724" t="s">
        <v>669</v>
      </c>
      <c r="B3" s="1724"/>
      <c r="C3" s="1724"/>
      <c r="D3" s="1724"/>
      <c r="E3" s="1724"/>
      <c r="F3" s="1724"/>
      <c r="G3" s="1724"/>
      <c r="H3" s="1724"/>
      <c r="I3" s="1726" t="str">
        <f>+Profile!BE8</f>
        <v xml:space="preserve"> </v>
      </c>
      <c r="J3" s="1726"/>
      <c r="K3" s="1726"/>
      <c r="L3" s="1726"/>
      <c r="M3" s="1726"/>
      <c r="N3" s="1726"/>
      <c r="O3" s="1726"/>
      <c r="P3" s="1726"/>
      <c r="Q3" s="1726"/>
      <c r="R3" s="1726"/>
      <c r="S3" s="1726"/>
      <c r="T3" s="691"/>
      <c r="U3" s="691"/>
      <c r="V3" s="691"/>
      <c r="W3" s="691"/>
      <c r="X3" s="691"/>
      <c r="Y3" s="691"/>
      <c r="Z3" s="691"/>
      <c r="AA3" s="686"/>
      <c r="AB3" s="686"/>
      <c r="AC3" s="686"/>
      <c r="AD3" s="686"/>
      <c r="AJ3" s="1882" t="s">
        <v>435</v>
      </c>
      <c r="AK3" s="1882"/>
      <c r="AL3" s="1882"/>
      <c r="AM3" s="1882"/>
      <c r="AN3" s="1882"/>
      <c r="AO3" s="1882"/>
      <c r="AP3" s="1882"/>
      <c r="AQ3" s="1882"/>
      <c r="AR3" s="1882"/>
      <c r="AS3" s="1882"/>
      <c r="AT3" s="1882"/>
      <c r="AU3" s="1882"/>
      <c r="AV3" s="1882"/>
      <c r="AW3" s="1882"/>
      <c r="AX3" s="1882"/>
      <c r="AY3" s="1882"/>
      <c r="BK3" s="97"/>
      <c r="BL3" s="97"/>
      <c r="BM3" s="97"/>
      <c r="BN3" s="97"/>
      <c r="BO3" s="97"/>
      <c r="BP3" s="97"/>
      <c r="BQ3" s="97"/>
      <c r="BR3" s="97"/>
      <c r="BS3" s="97"/>
      <c r="BT3" s="97"/>
      <c r="BU3" s="97"/>
    </row>
    <row r="4" spans="1:73" s="33" customFormat="1" ht="6" customHeight="1" x14ac:dyDescent="0.25">
      <c r="A4" s="689"/>
      <c r="B4" s="1886"/>
      <c r="C4" s="1886"/>
      <c r="D4" s="1886"/>
      <c r="E4" s="1886"/>
      <c r="F4" s="1886"/>
      <c r="G4" s="1886"/>
      <c r="H4" s="1886"/>
      <c r="I4" s="1887"/>
      <c r="J4" s="1887"/>
      <c r="K4" s="1887"/>
      <c r="L4" s="1887"/>
      <c r="M4" s="1887"/>
      <c r="N4" s="1887"/>
      <c r="O4" s="1887"/>
      <c r="P4" s="1887"/>
      <c r="Q4" s="1887"/>
      <c r="R4" s="1887"/>
      <c r="S4" s="1887"/>
      <c r="T4" s="689"/>
      <c r="U4" s="689"/>
      <c r="V4" s="689"/>
      <c r="W4" s="689"/>
      <c r="X4" s="689"/>
      <c r="Y4" s="689"/>
      <c r="Z4" s="689"/>
      <c r="AA4" s="689"/>
      <c r="AB4" s="689"/>
      <c r="AC4" s="689"/>
      <c r="AD4" s="689"/>
      <c r="AE4" s="107"/>
      <c r="AF4" s="107"/>
      <c r="AG4" s="655"/>
      <c r="AH4" s="655"/>
      <c r="AI4" s="1007"/>
      <c r="AJ4" s="94"/>
      <c r="AK4" s="94"/>
      <c r="AL4" s="94"/>
      <c r="AM4" s="94"/>
      <c r="AN4" s="94"/>
      <c r="AO4" s="94"/>
      <c r="AP4" s="94"/>
      <c r="AQ4" s="94"/>
      <c r="AR4" s="94"/>
      <c r="AS4" s="94"/>
      <c r="AT4" s="94"/>
      <c r="AU4" s="94"/>
      <c r="AV4" s="94"/>
      <c r="AW4" s="94"/>
      <c r="AX4" s="128"/>
      <c r="AY4" s="128"/>
      <c r="AZ4" s="128"/>
      <c r="BA4" s="128"/>
      <c r="BB4" s="128"/>
      <c r="BC4" s="128"/>
      <c r="BD4" s="128"/>
      <c r="BE4" s="128"/>
      <c r="BF4" s="128"/>
      <c r="BG4" s="128"/>
      <c r="BH4" s="128"/>
      <c r="BI4" s="128"/>
      <c r="BJ4" s="29"/>
      <c r="BK4" s="597"/>
      <c r="BL4" s="597"/>
      <c r="BM4" s="597"/>
      <c r="BN4" s="597"/>
      <c r="BO4" s="597"/>
      <c r="BP4" s="597"/>
      <c r="BQ4" s="597"/>
      <c r="BR4" s="597"/>
      <c r="BS4" s="597"/>
      <c r="BT4" s="597"/>
      <c r="BU4" s="597"/>
    </row>
    <row r="5" spans="1:73" ht="15" customHeight="1" thickBot="1" x14ac:dyDescent="0.25">
      <c r="A5" s="600"/>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498"/>
      <c r="AJ5" s="1876" t="s">
        <v>434</v>
      </c>
      <c r="AK5" s="1876"/>
      <c r="AL5" s="1876"/>
      <c r="AM5" s="1876"/>
      <c r="AN5" s="1876"/>
      <c r="AO5" s="1876"/>
      <c r="AP5" s="1876"/>
      <c r="AQ5" s="1876"/>
      <c r="AR5" s="1876"/>
      <c r="AS5" s="1876"/>
      <c r="AT5" s="1876"/>
      <c r="AU5" s="1876"/>
      <c r="AV5" s="1876"/>
      <c r="AW5" s="1876"/>
      <c r="AX5" s="1876"/>
      <c r="AY5" s="1876"/>
      <c r="AZ5" s="1876"/>
      <c r="BA5" s="1876"/>
      <c r="BB5" s="1876"/>
      <c r="BC5" s="1876"/>
      <c r="BD5" s="1876"/>
      <c r="BE5" s="1876"/>
      <c r="BF5" s="1876"/>
      <c r="BG5" s="1876"/>
      <c r="BH5" s="1876"/>
      <c r="BI5" s="1876"/>
      <c r="BJ5" s="597"/>
      <c r="BK5" s="94"/>
      <c r="BL5" s="94"/>
      <c r="BM5" s="94"/>
      <c r="BN5" s="94"/>
      <c r="BO5" s="94"/>
      <c r="BP5" s="94"/>
      <c r="BQ5" s="94"/>
      <c r="BR5" s="94"/>
      <c r="BS5" s="94"/>
      <c r="BT5" s="94"/>
      <c r="BU5" s="94"/>
    </row>
    <row r="6" spans="1:73" ht="14.65" customHeight="1" thickBot="1" x14ac:dyDescent="0.25">
      <c r="A6" s="1044" t="s">
        <v>66</v>
      </c>
      <c r="B6" s="1044"/>
      <c r="C6" s="1044"/>
      <c r="D6" s="1044"/>
      <c r="E6" s="1889" t="s">
        <v>23</v>
      </c>
      <c r="F6" s="1889"/>
      <c r="G6" s="1889"/>
      <c r="H6" s="1889"/>
      <c r="I6" s="1889"/>
      <c r="J6" s="1889"/>
      <c r="K6" s="1889"/>
      <c r="L6" s="1889"/>
      <c r="M6" s="1889"/>
      <c r="N6" s="1867" t="s">
        <v>67</v>
      </c>
      <c r="O6" s="1867"/>
      <c r="P6" s="1867" t="s">
        <v>26</v>
      </c>
      <c r="Q6" s="1867"/>
      <c r="R6" s="1867" t="s">
        <v>27</v>
      </c>
      <c r="S6" s="1867"/>
      <c r="T6" s="1867" t="s">
        <v>28</v>
      </c>
      <c r="U6" s="1867"/>
      <c r="V6" s="1888" t="s">
        <v>29</v>
      </c>
      <c r="W6" s="1888"/>
      <c r="X6" s="1884" t="s">
        <v>68</v>
      </c>
      <c r="Y6" s="1884"/>
      <c r="Z6" s="1884"/>
      <c r="AA6" s="648"/>
      <c r="AB6" s="649" t="s">
        <v>631</v>
      </c>
      <c r="AC6" s="650"/>
      <c r="AD6" s="649" t="s">
        <v>78</v>
      </c>
      <c r="AF6" s="726" t="s">
        <v>707</v>
      </c>
      <c r="AH6" s="1025" t="s">
        <v>22</v>
      </c>
      <c r="AI6" s="95" t="s">
        <v>986</v>
      </c>
      <c r="AJ6" s="95" t="s">
        <v>157</v>
      </c>
      <c r="AK6" s="95" t="s">
        <v>158</v>
      </c>
      <c r="AL6" s="95" t="s">
        <v>159</v>
      </c>
      <c r="AM6" s="96"/>
      <c r="AN6" s="95" t="s">
        <v>166</v>
      </c>
      <c r="AO6" s="95" t="s">
        <v>167</v>
      </c>
      <c r="AP6" s="1016">
        <v>7.2499999999999995E-2</v>
      </c>
      <c r="AQ6" s="97"/>
      <c r="AR6" s="97" t="s">
        <v>707</v>
      </c>
      <c r="AS6" s="1890" t="s">
        <v>708</v>
      </c>
      <c r="AT6" s="1890"/>
      <c r="AV6" s="1041"/>
      <c r="AW6" s="97"/>
      <c r="AX6" s="97"/>
      <c r="AY6" s="97"/>
      <c r="AZ6" s="97"/>
      <c r="BA6" s="97"/>
      <c r="BB6" s="97"/>
      <c r="BC6" s="97"/>
      <c r="BD6" s="97"/>
      <c r="BE6" s="97"/>
      <c r="BF6" s="97"/>
      <c r="BG6" s="97"/>
      <c r="BH6" s="97"/>
      <c r="BI6" s="97"/>
      <c r="BJ6" s="97"/>
      <c r="BK6" s="94"/>
      <c r="BL6" s="94"/>
      <c r="BM6" s="94"/>
      <c r="BN6" s="94"/>
      <c r="BO6" s="94"/>
      <c r="BP6" s="94"/>
      <c r="BQ6" s="94"/>
      <c r="BR6" s="94"/>
      <c r="BS6" s="94"/>
      <c r="BT6" s="94"/>
      <c r="BU6" s="94"/>
    </row>
    <row r="7" spans="1:73" ht="18.75" customHeight="1" thickBot="1" x14ac:dyDescent="0.25">
      <c r="A7" s="1842" t="s">
        <v>1422</v>
      </c>
      <c r="B7" s="1842"/>
      <c r="C7" s="1842"/>
      <c r="D7" s="1842"/>
      <c r="E7" s="1861"/>
      <c r="F7" s="1862"/>
      <c r="G7" s="1862"/>
      <c r="H7" s="1862"/>
      <c r="I7" s="1862"/>
      <c r="J7" s="1862"/>
      <c r="K7" s="1862"/>
      <c r="L7" s="1862"/>
      <c r="M7" s="1863"/>
      <c r="N7" s="1865"/>
      <c r="O7" s="1866"/>
      <c r="P7" s="1845"/>
      <c r="Q7" s="1846"/>
      <c r="R7" s="1847"/>
      <c r="S7" s="1848"/>
      <c r="T7" s="1847"/>
      <c r="U7" s="1848"/>
      <c r="V7" s="1872"/>
      <c r="W7" s="1873"/>
      <c r="X7" s="1847"/>
      <c r="Y7" s="1869"/>
      <c r="Z7" s="500" t="s">
        <v>69</v>
      </c>
      <c r="AA7" s="472"/>
      <c r="AB7" s="474"/>
      <c r="AC7" s="502"/>
      <c r="AD7" s="476">
        <v>30</v>
      </c>
      <c r="AF7" s="741" t="s">
        <v>551</v>
      </c>
      <c r="AG7" s="932" t="str">
        <f>IF(AF7="No","","Repaying")</f>
        <v/>
      </c>
      <c r="AH7" s="1042" t="s">
        <v>363</v>
      </c>
      <c r="AI7" s="1009" t="str">
        <f>IFERROR(+R7/N7,"")</f>
        <v/>
      </c>
      <c r="AJ7" s="98" t="str">
        <f t="shared" ref="AJ7:AJ12" si="0">IF(T7&gt;0,+V7*R7/12,"")</f>
        <v/>
      </c>
      <c r="AK7" s="98" t="str">
        <f t="shared" ref="AK7:AK12" si="1">IF(T7&gt;0,PMT(+V7/12,360,-R7),"")</f>
        <v/>
      </c>
      <c r="AL7" s="98" t="str">
        <f t="shared" ref="AL7:AL12" si="2">IF(T7&gt;0,PMT(+V7/12,300,-R7),"")</f>
        <v/>
      </c>
      <c r="AM7" s="99"/>
      <c r="AN7" s="98" t="str">
        <f t="shared" ref="AN7:AN12" si="3">IF(V7&gt;0,PMT(V7/12,AO7*12,-R7),"")</f>
        <v/>
      </c>
      <c r="AO7" s="207">
        <v>30</v>
      </c>
      <c r="AP7" s="98" t="str">
        <f t="shared" ref="AP7:AP12" si="4">IF(V7&gt;0,PMT($AP$6/12,AO7*12,-R7),"")</f>
        <v/>
      </c>
      <c r="AQ7" s="597"/>
      <c r="AR7" s="597">
        <f>IF(AF7="No",1,0)</f>
        <v>1</v>
      </c>
      <c r="AS7" s="742" t="str">
        <f>IF(X7="","",+X7*AR7)</f>
        <v/>
      </c>
      <c r="AT7" s="500" t="s">
        <v>69</v>
      </c>
      <c r="AV7" s="1043"/>
      <c r="BK7" s="94"/>
      <c r="BL7" s="94"/>
      <c r="BM7" s="94"/>
      <c r="BN7" s="94"/>
      <c r="BO7" s="94"/>
      <c r="BP7" s="94"/>
      <c r="BQ7" s="94"/>
      <c r="BR7" s="94"/>
      <c r="BS7" s="94"/>
      <c r="BT7" s="94"/>
      <c r="BU7" s="94"/>
    </row>
    <row r="8" spans="1:73" ht="18.75" customHeight="1" thickBot="1" x14ac:dyDescent="0.25">
      <c r="A8" s="1842" t="s">
        <v>674</v>
      </c>
      <c r="B8" s="1842"/>
      <c r="C8" s="1842"/>
      <c r="D8" s="1842"/>
      <c r="E8" s="1861"/>
      <c r="F8" s="1862"/>
      <c r="G8" s="1862"/>
      <c r="H8" s="1862"/>
      <c r="I8" s="1862"/>
      <c r="J8" s="1862"/>
      <c r="K8" s="1862"/>
      <c r="L8" s="1862"/>
      <c r="M8" s="1863"/>
      <c r="N8" s="1865"/>
      <c r="O8" s="1866"/>
      <c r="P8" s="1845"/>
      <c r="Q8" s="1846"/>
      <c r="R8" s="1847"/>
      <c r="S8" s="1848"/>
      <c r="T8" s="1847"/>
      <c r="U8" s="1848"/>
      <c r="V8" s="1872"/>
      <c r="W8" s="1873"/>
      <c r="X8" s="1847"/>
      <c r="Y8" s="1869"/>
      <c r="Z8" s="500" t="s">
        <v>69</v>
      </c>
      <c r="AA8" s="472"/>
      <c r="AB8" s="475"/>
      <c r="AC8" s="502"/>
      <c r="AD8" s="476">
        <v>30</v>
      </c>
      <c r="AF8" s="741" t="s">
        <v>551</v>
      </c>
      <c r="AG8" s="932" t="str">
        <f t="shared" ref="AG8:AG35" si="5">IF(AF8="No","","Repaying")</f>
        <v/>
      </c>
      <c r="AH8" s="1042" t="s">
        <v>365</v>
      </c>
      <c r="AI8" s="1009" t="str">
        <f>IFERROR(+R8/N8,"")</f>
        <v/>
      </c>
      <c r="AJ8" s="98" t="str">
        <f t="shared" si="0"/>
        <v/>
      </c>
      <c r="AK8" s="98" t="str">
        <f t="shared" si="1"/>
        <v/>
      </c>
      <c r="AL8" s="98" t="str">
        <f t="shared" si="2"/>
        <v/>
      </c>
      <c r="AM8" s="99"/>
      <c r="AN8" s="98" t="str">
        <f t="shared" si="3"/>
        <v/>
      </c>
      <c r="AO8" s="207">
        <v>30</v>
      </c>
      <c r="AP8" s="98" t="str">
        <f t="shared" si="4"/>
        <v/>
      </c>
      <c r="AR8" s="725">
        <f t="shared" ref="AR8:AR35" si="6">IF(AF8="No",1,0)</f>
        <v>1</v>
      </c>
      <c r="AS8" s="742" t="str">
        <f t="shared" ref="AS8:AS16" si="7">IF(X8="","",+X8*AR8)</f>
        <v/>
      </c>
      <c r="AT8" s="500" t="s">
        <v>69</v>
      </c>
      <c r="AV8" s="1043"/>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ht="18.75" customHeight="1" thickBot="1" x14ac:dyDescent="0.25">
      <c r="A9" s="1842" t="s">
        <v>674</v>
      </c>
      <c r="B9" s="1842"/>
      <c r="C9" s="1842"/>
      <c r="D9" s="1842"/>
      <c r="E9" s="1861"/>
      <c r="F9" s="1862"/>
      <c r="G9" s="1862"/>
      <c r="H9" s="1862"/>
      <c r="I9" s="1862"/>
      <c r="J9" s="1862"/>
      <c r="K9" s="1862"/>
      <c r="L9" s="1862"/>
      <c r="M9" s="1863"/>
      <c r="N9" s="1865"/>
      <c r="O9" s="1866"/>
      <c r="P9" s="1845"/>
      <c r="Q9" s="1846"/>
      <c r="R9" s="1847"/>
      <c r="S9" s="1848"/>
      <c r="T9" s="1847"/>
      <c r="U9" s="1848"/>
      <c r="V9" s="1872"/>
      <c r="W9" s="1873"/>
      <c r="X9" s="1847"/>
      <c r="Y9" s="1869"/>
      <c r="Z9" s="500" t="s">
        <v>69</v>
      </c>
      <c r="AA9" s="472"/>
      <c r="AB9" s="475"/>
      <c r="AC9" s="502"/>
      <c r="AD9" s="476">
        <v>30</v>
      </c>
      <c r="AF9" s="741" t="s">
        <v>551</v>
      </c>
      <c r="AG9" s="932" t="str">
        <f t="shared" si="5"/>
        <v/>
      </c>
      <c r="AH9" s="1042" t="s">
        <v>365</v>
      </c>
      <c r="AI9" s="1009" t="str">
        <f>IFERROR(+R9/N9,"")</f>
        <v/>
      </c>
      <c r="AJ9" s="98" t="str">
        <f t="shared" si="0"/>
        <v/>
      </c>
      <c r="AK9" s="98" t="str">
        <f t="shared" si="1"/>
        <v/>
      </c>
      <c r="AL9" s="98" t="str">
        <f t="shared" si="2"/>
        <v/>
      </c>
      <c r="AM9" s="99"/>
      <c r="AN9" s="98" t="str">
        <f t="shared" si="3"/>
        <v/>
      </c>
      <c r="AO9" s="207">
        <v>30</v>
      </c>
      <c r="AP9" s="98" t="str">
        <f t="shared" si="4"/>
        <v/>
      </c>
      <c r="AR9" s="725">
        <f t="shared" si="6"/>
        <v>1</v>
      </c>
      <c r="AS9" s="742" t="str">
        <f t="shared" si="7"/>
        <v/>
      </c>
      <c r="AT9" s="500" t="s">
        <v>69</v>
      </c>
      <c r="AV9" s="1043"/>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ht="18.75" customHeight="1" thickBot="1" x14ac:dyDescent="0.25">
      <c r="A10" s="1842" t="s">
        <v>674</v>
      </c>
      <c r="B10" s="1842"/>
      <c r="C10" s="1842"/>
      <c r="D10" s="1842"/>
      <c r="E10" s="1861"/>
      <c r="F10" s="1862"/>
      <c r="G10" s="1862"/>
      <c r="H10" s="1862"/>
      <c r="I10" s="1862"/>
      <c r="J10" s="1862"/>
      <c r="K10" s="1862"/>
      <c r="L10" s="1862"/>
      <c r="M10" s="1863"/>
      <c r="N10" s="1865"/>
      <c r="O10" s="1866"/>
      <c r="P10" s="1845"/>
      <c r="Q10" s="1846"/>
      <c r="R10" s="1847"/>
      <c r="S10" s="1848"/>
      <c r="T10" s="1847"/>
      <c r="U10" s="1848"/>
      <c r="V10" s="1872"/>
      <c r="W10" s="1873"/>
      <c r="X10" s="1847"/>
      <c r="Y10" s="1869"/>
      <c r="Z10" s="500" t="s">
        <v>69</v>
      </c>
      <c r="AA10" s="472"/>
      <c r="AB10" s="475"/>
      <c r="AC10" s="502"/>
      <c r="AD10" s="476">
        <v>30</v>
      </c>
      <c r="AF10" s="741" t="s">
        <v>551</v>
      </c>
      <c r="AG10" s="932" t="str">
        <f t="shared" si="5"/>
        <v/>
      </c>
      <c r="AH10" s="1042" t="s">
        <v>365</v>
      </c>
      <c r="AI10" s="1009" t="str">
        <f t="shared" ref="AI10:AI16" si="8">IFERROR(+R10/N10,"")</f>
        <v/>
      </c>
      <c r="AJ10" s="98" t="str">
        <f t="shared" si="0"/>
        <v/>
      </c>
      <c r="AK10" s="98" t="str">
        <f t="shared" si="1"/>
        <v/>
      </c>
      <c r="AL10" s="98" t="str">
        <f t="shared" si="2"/>
        <v/>
      </c>
      <c r="AM10" s="99"/>
      <c r="AN10" s="98" t="str">
        <f t="shared" si="3"/>
        <v/>
      </c>
      <c r="AO10" s="207">
        <v>30</v>
      </c>
      <c r="AP10" s="98" t="str">
        <f t="shared" si="4"/>
        <v/>
      </c>
      <c r="AR10" s="725">
        <f t="shared" si="6"/>
        <v>1</v>
      </c>
      <c r="AS10" s="742" t="str">
        <f t="shared" si="7"/>
        <v/>
      </c>
      <c r="AT10" s="500" t="s">
        <v>69</v>
      </c>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ht="18.75" customHeight="1" thickBot="1" x14ac:dyDescent="0.25">
      <c r="A11" s="1842" t="s">
        <v>1055</v>
      </c>
      <c r="B11" s="1842"/>
      <c r="C11" s="1842"/>
      <c r="D11" s="1842"/>
      <c r="E11" s="1861"/>
      <c r="F11" s="1862"/>
      <c r="G11" s="1862"/>
      <c r="H11" s="1862"/>
      <c r="I11" s="1862"/>
      <c r="J11" s="1862"/>
      <c r="K11" s="1862"/>
      <c r="L11" s="1862"/>
      <c r="M11" s="1863"/>
      <c r="N11" s="1865"/>
      <c r="O11" s="1866"/>
      <c r="P11" s="1845"/>
      <c r="Q11" s="1846"/>
      <c r="R11" s="1847"/>
      <c r="S11" s="1848"/>
      <c r="T11" s="1847"/>
      <c r="U11" s="1848"/>
      <c r="V11" s="1872"/>
      <c r="W11" s="1873"/>
      <c r="X11" s="1847"/>
      <c r="Y11" s="1869"/>
      <c r="Z11" s="500" t="s">
        <v>69</v>
      </c>
      <c r="AA11" s="472"/>
      <c r="AB11" s="475"/>
      <c r="AC11" s="502"/>
      <c r="AD11" s="476">
        <v>30</v>
      </c>
      <c r="AF11" s="741" t="s">
        <v>551</v>
      </c>
      <c r="AG11" s="932" t="str">
        <f t="shared" si="5"/>
        <v/>
      </c>
      <c r="AH11" s="1042" t="s">
        <v>365</v>
      </c>
      <c r="AI11" s="1009" t="str">
        <f t="shared" si="8"/>
        <v/>
      </c>
      <c r="AJ11" s="98" t="str">
        <f t="shared" si="0"/>
        <v/>
      </c>
      <c r="AK11" s="98" t="str">
        <f t="shared" si="1"/>
        <v/>
      </c>
      <c r="AL11" s="98" t="str">
        <f t="shared" si="2"/>
        <v/>
      </c>
      <c r="AM11" s="99"/>
      <c r="AN11" s="98" t="str">
        <f t="shared" si="3"/>
        <v/>
      </c>
      <c r="AO11" s="207">
        <v>15</v>
      </c>
      <c r="AP11" s="98" t="str">
        <f t="shared" si="4"/>
        <v/>
      </c>
      <c r="AR11" s="725">
        <f t="shared" si="6"/>
        <v>1</v>
      </c>
      <c r="AS11" s="742" t="str">
        <f t="shared" si="7"/>
        <v/>
      </c>
      <c r="AT11" s="500" t="s">
        <v>69</v>
      </c>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ht="18.75" customHeight="1" thickBot="1" x14ac:dyDescent="0.25">
      <c r="A12" s="1842" t="s">
        <v>1055</v>
      </c>
      <c r="B12" s="1842"/>
      <c r="C12" s="1842"/>
      <c r="D12" s="1842"/>
      <c r="E12" s="1861"/>
      <c r="F12" s="1862"/>
      <c r="G12" s="1862"/>
      <c r="H12" s="1862"/>
      <c r="I12" s="1862"/>
      <c r="J12" s="1862"/>
      <c r="K12" s="1862"/>
      <c r="L12" s="1862"/>
      <c r="M12" s="1863"/>
      <c r="N12" s="1865"/>
      <c r="O12" s="1866"/>
      <c r="P12" s="1845"/>
      <c r="Q12" s="1846"/>
      <c r="R12" s="1847"/>
      <c r="S12" s="1848"/>
      <c r="T12" s="1847"/>
      <c r="U12" s="1848"/>
      <c r="V12" s="1872"/>
      <c r="W12" s="1873"/>
      <c r="X12" s="1847"/>
      <c r="Y12" s="1869"/>
      <c r="Z12" s="500" t="s">
        <v>69</v>
      </c>
      <c r="AA12" s="472"/>
      <c r="AB12" s="475"/>
      <c r="AC12" s="502"/>
      <c r="AD12" s="476">
        <v>30</v>
      </c>
      <c r="AF12" s="741" t="s">
        <v>551</v>
      </c>
      <c r="AG12" s="932" t="str">
        <f t="shared" si="5"/>
        <v/>
      </c>
      <c r="AH12" s="1042" t="s">
        <v>365</v>
      </c>
      <c r="AI12" s="1009" t="str">
        <f t="shared" si="8"/>
        <v/>
      </c>
      <c r="AJ12" s="98" t="str">
        <f t="shared" si="0"/>
        <v/>
      </c>
      <c r="AK12" s="98" t="str">
        <f t="shared" si="1"/>
        <v/>
      </c>
      <c r="AL12" s="98" t="str">
        <f t="shared" si="2"/>
        <v/>
      </c>
      <c r="AM12" s="99"/>
      <c r="AN12" s="98" t="str">
        <f t="shared" si="3"/>
        <v/>
      </c>
      <c r="AO12" s="207">
        <v>30</v>
      </c>
      <c r="AP12" s="98" t="str">
        <f t="shared" si="4"/>
        <v/>
      </c>
      <c r="AR12" s="725">
        <f t="shared" si="6"/>
        <v>1</v>
      </c>
      <c r="AS12" s="742" t="str">
        <f t="shared" si="7"/>
        <v/>
      </c>
      <c r="AT12" s="500" t="s">
        <v>69</v>
      </c>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ht="18.600000000000001" customHeight="1" x14ac:dyDescent="0.2">
      <c r="A13" s="1842"/>
      <c r="B13" s="1842"/>
      <c r="C13" s="1842"/>
      <c r="D13" s="1842"/>
      <c r="E13" s="1884" t="s">
        <v>71</v>
      </c>
      <c r="F13" s="1884"/>
      <c r="G13" s="1884"/>
      <c r="H13" s="1884"/>
      <c r="I13" s="1867" t="s">
        <v>70</v>
      </c>
      <c r="J13" s="1867"/>
      <c r="K13" s="1867"/>
      <c r="L13" s="1867" t="s">
        <v>72</v>
      </c>
      <c r="M13" s="1867"/>
      <c r="N13" s="1868" t="s">
        <v>67</v>
      </c>
      <c r="O13" s="1868"/>
      <c r="P13" s="1867" t="s">
        <v>26</v>
      </c>
      <c r="Q13" s="1867"/>
      <c r="R13" s="1868" t="s">
        <v>27</v>
      </c>
      <c r="S13" s="1868"/>
      <c r="T13" s="1868" t="s">
        <v>28</v>
      </c>
      <c r="U13" s="1868"/>
      <c r="V13" s="1885" t="s">
        <v>29</v>
      </c>
      <c r="W13" s="1885"/>
      <c r="X13" s="1884" t="s">
        <v>68</v>
      </c>
      <c r="Y13" s="1884"/>
      <c r="Z13" s="1884"/>
      <c r="AA13" s="472"/>
      <c r="AB13" s="503"/>
      <c r="AC13" s="502"/>
      <c r="AD13" s="504"/>
      <c r="AE13" s="504"/>
      <c r="AF13" s="504"/>
      <c r="AG13" s="932"/>
      <c r="AH13" s="932"/>
      <c r="AI13" s="1017" t="str">
        <f t="shared" si="8"/>
        <v/>
      </c>
      <c r="AJ13" s="95" t="s">
        <v>157</v>
      </c>
      <c r="AK13" s="95" t="s">
        <v>164</v>
      </c>
      <c r="AL13" s="95" t="s">
        <v>165</v>
      </c>
      <c r="AM13" s="95"/>
      <c r="AN13" s="95" t="s">
        <v>169</v>
      </c>
      <c r="AO13" s="95" t="s">
        <v>167</v>
      </c>
      <c r="AP13" s="95" t="s">
        <v>168</v>
      </c>
      <c r="AR13" s="97" t="s">
        <v>707</v>
      </c>
      <c r="AS13" s="1890" t="s">
        <v>708</v>
      </c>
      <c r="AT13" s="1890"/>
      <c r="AX13" s="94"/>
      <c r="AY13" s="94"/>
      <c r="AZ13" s="94"/>
      <c r="BA13" s="94"/>
      <c r="BB13" s="94"/>
      <c r="BC13" s="384"/>
      <c r="BD13" s="94"/>
      <c r="BE13" s="94"/>
      <c r="BF13" s="94"/>
      <c r="BG13" s="357"/>
      <c r="BH13" s="94"/>
      <c r="BI13" s="94"/>
      <c r="BJ13" s="94"/>
      <c r="BK13" s="94"/>
      <c r="BL13" s="94"/>
      <c r="BM13" s="94"/>
      <c r="BN13" s="94"/>
      <c r="BO13" s="94"/>
      <c r="BP13" s="94"/>
      <c r="BQ13" s="94"/>
      <c r="BR13" s="94"/>
      <c r="BS13" s="94"/>
      <c r="BT13" s="94"/>
      <c r="BU13" s="94"/>
    </row>
    <row r="14" spans="1:73" ht="18.75" customHeight="1" x14ac:dyDescent="0.2">
      <c r="A14" s="1842" t="s">
        <v>675</v>
      </c>
      <c r="B14" s="1842"/>
      <c r="C14" s="1842"/>
      <c r="D14" s="1842"/>
      <c r="E14" s="1861"/>
      <c r="F14" s="1862"/>
      <c r="G14" s="1862"/>
      <c r="H14" s="1863"/>
      <c r="I14" s="1864"/>
      <c r="J14" s="1864"/>
      <c r="K14" s="1864"/>
      <c r="L14" s="1874"/>
      <c r="M14" s="1875"/>
      <c r="N14" s="1865"/>
      <c r="O14" s="1866"/>
      <c r="P14" s="1845"/>
      <c r="Q14" s="1846"/>
      <c r="R14" s="1847"/>
      <c r="S14" s="1848"/>
      <c r="T14" s="1847"/>
      <c r="U14" s="1848"/>
      <c r="V14" s="1872"/>
      <c r="W14" s="1873"/>
      <c r="X14" s="1847"/>
      <c r="Y14" s="1869"/>
      <c r="Z14" s="500" t="s">
        <v>69</v>
      </c>
      <c r="AA14" s="472"/>
      <c r="AB14" s="505"/>
      <c r="AC14" s="502"/>
      <c r="AD14" s="476">
        <v>5</v>
      </c>
      <c r="AF14" s="741" t="s">
        <v>551</v>
      </c>
      <c r="AG14" s="932" t="str">
        <f t="shared" si="5"/>
        <v/>
      </c>
      <c r="AH14" s="932"/>
      <c r="AI14" s="1009" t="str">
        <f t="shared" si="8"/>
        <v/>
      </c>
      <c r="AJ14" s="98" t="str">
        <f>IF(T14&gt;0,+V14*R14/12,"")</f>
        <v/>
      </c>
      <c r="AK14" s="98" t="str">
        <f>IF(T14&gt;0,PMT(+V14/12,84,-R14),"")</f>
        <v/>
      </c>
      <c r="AL14" s="98" t="str">
        <f>IF(T14&gt;0,PMT(+V14/12,60,-R14),"")</f>
        <v/>
      </c>
      <c r="AM14" s="99"/>
      <c r="AN14" s="98" t="str">
        <f>IF(T14&gt;0,PMT(V14/12,AO14*12,-R14,(-AP14*R14),1),"")</f>
        <v/>
      </c>
      <c r="AO14" s="207">
        <v>5</v>
      </c>
      <c r="AP14" s="208">
        <v>0.3</v>
      </c>
      <c r="AR14" s="725">
        <f t="shared" si="6"/>
        <v>1</v>
      </c>
      <c r="AS14" s="742" t="str">
        <f t="shared" si="7"/>
        <v/>
      </c>
      <c r="AT14" s="500" t="s">
        <v>69</v>
      </c>
      <c r="AX14" s="94"/>
      <c r="AY14" s="94"/>
      <c r="AZ14" s="94"/>
      <c r="BC14" s="384"/>
      <c r="BD14" s="94"/>
      <c r="BE14" s="94"/>
      <c r="BF14" s="94"/>
      <c r="BG14" s="357"/>
      <c r="BH14" s="94"/>
      <c r="BI14" s="94"/>
      <c r="BJ14" s="94"/>
      <c r="BK14" s="94"/>
      <c r="BL14" s="94"/>
      <c r="BM14" s="94"/>
      <c r="BN14" s="94"/>
      <c r="BO14" s="94"/>
      <c r="BP14" s="94"/>
      <c r="BQ14" s="94"/>
      <c r="BR14" s="94"/>
      <c r="BS14" s="94"/>
      <c r="BT14" s="94"/>
      <c r="BU14" s="94"/>
    </row>
    <row r="15" spans="1:73" ht="18.75" customHeight="1" x14ac:dyDescent="0.2">
      <c r="A15" s="1842" t="s">
        <v>676</v>
      </c>
      <c r="B15" s="1842"/>
      <c r="C15" s="1842"/>
      <c r="D15" s="1842"/>
      <c r="E15" s="1861"/>
      <c r="F15" s="1862"/>
      <c r="G15" s="1862"/>
      <c r="H15" s="1863"/>
      <c r="I15" s="1864"/>
      <c r="J15" s="1864"/>
      <c r="K15" s="1864"/>
      <c r="L15" s="1874"/>
      <c r="M15" s="1875"/>
      <c r="N15" s="1865"/>
      <c r="O15" s="1866"/>
      <c r="P15" s="1845"/>
      <c r="Q15" s="1846"/>
      <c r="R15" s="1847"/>
      <c r="S15" s="1848"/>
      <c r="T15" s="1847"/>
      <c r="U15" s="1848"/>
      <c r="V15" s="1872"/>
      <c r="W15" s="1873"/>
      <c r="X15" s="1847"/>
      <c r="Y15" s="1869"/>
      <c r="Z15" s="500" t="s">
        <v>69</v>
      </c>
      <c r="AA15" s="472"/>
      <c r="AB15" s="505"/>
      <c r="AC15" s="502"/>
      <c r="AD15" s="476">
        <v>5</v>
      </c>
      <c r="AF15" s="741" t="s">
        <v>551</v>
      </c>
      <c r="AG15" s="932" t="str">
        <f t="shared" si="5"/>
        <v/>
      </c>
      <c r="AH15" s="932"/>
      <c r="AI15" s="1009" t="str">
        <f t="shared" si="8"/>
        <v/>
      </c>
      <c r="AJ15" s="98" t="str">
        <f>IF(T15&gt;0,+V15*R15/12,"")</f>
        <v/>
      </c>
      <c r="AK15" s="98" t="str">
        <f>IF(T15&gt;0,PMT(+V15/12,84,-R15),"")</f>
        <v/>
      </c>
      <c r="AL15" s="98" t="str">
        <f>IF(T15&gt;0,PMT(+V15/12,60,-R15),"")</f>
        <v/>
      </c>
      <c r="AM15" s="99"/>
      <c r="AN15" s="98" t="str">
        <f>IF(T15&gt;0,PMT(V15/12,AO15*12,-R15,(-AP15*R15),1),"")</f>
        <v/>
      </c>
      <c r="AO15" s="207">
        <v>4</v>
      </c>
      <c r="AP15" s="208">
        <v>0.4</v>
      </c>
      <c r="AR15" s="725">
        <f t="shared" si="6"/>
        <v>1</v>
      </c>
      <c r="AS15" s="742" t="str">
        <f t="shared" si="7"/>
        <v/>
      </c>
      <c r="AT15" s="500" t="s">
        <v>69</v>
      </c>
      <c r="AX15" s="94"/>
      <c r="AY15" s="94"/>
      <c r="AZ15" s="94"/>
      <c r="BC15" s="384"/>
      <c r="BD15" s="94"/>
      <c r="BE15" s="94"/>
      <c r="BF15" s="94"/>
      <c r="BG15" s="357"/>
      <c r="BH15" s="94"/>
      <c r="BI15" s="94"/>
      <c r="BJ15" s="94"/>
      <c r="BK15" s="94"/>
      <c r="BL15" s="94"/>
      <c r="BM15" s="94"/>
      <c r="BN15" s="94"/>
      <c r="BO15" s="94"/>
      <c r="BP15" s="94"/>
      <c r="BQ15" s="94"/>
      <c r="BR15" s="94"/>
      <c r="BS15" s="94"/>
      <c r="BT15" s="94"/>
      <c r="BU15" s="94"/>
    </row>
    <row r="16" spans="1:73" ht="18.75" customHeight="1" x14ac:dyDescent="0.2">
      <c r="A16" s="1842" t="s">
        <v>677</v>
      </c>
      <c r="B16" s="1842"/>
      <c r="C16" s="1842"/>
      <c r="D16" s="1842"/>
      <c r="E16" s="1861"/>
      <c r="F16" s="1862"/>
      <c r="G16" s="1862"/>
      <c r="H16" s="1863"/>
      <c r="I16" s="1864"/>
      <c r="J16" s="1864"/>
      <c r="K16" s="1864"/>
      <c r="L16" s="1874"/>
      <c r="M16" s="1875"/>
      <c r="N16" s="1865"/>
      <c r="O16" s="1866"/>
      <c r="P16" s="1845"/>
      <c r="Q16" s="1846"/>
      <c r="R16" s="1847"/>
      <c r="S16" s="1848"/>
      <c r="T16" s="1847"/>
      <c r="U16" s="1848"/>
      <c r="V16" s="1872"/>
      <c r="W16" s="1873"/>
      <c r="X16" s="1847"/>
      <c r="Y16" s="1869"/>
      <c r="Z16" s="500" t="s">
        <v>69</v>
      </c>
      <c r="AA16" s="472"/>
      <c r="AB16" s="505"/>
      <c r="AC16" s="502"/>
      <c r="AD16" s="476">
        <v>5</v>
      </c>
      <c r="AF16" s="741" t="s">
        <v>551</v>
      </c>
      <c r="AG16" s="932" t="str">
        <f t="shared" si="5"/>
        <v/>
      </c>
      <c r="AH16" s="932"/>
      <c r="AI16" s="1009" t="str">
        <f t="shared" si="8"/>
        <v/>
      </c>
      <c r="AJ16" s="98" t="str">
        <f>IF(T16&gt;0,+V16*R16/12,"")</f>
        <v/>
      </c>
      <c r="AK16" s="98" t="str">
        <f>IF(T16&gt;0,PMT(+V16/12,84,-R16),"")</f>
        <v/>
      </c>
      <c r="AL16" s="98" t="str">
        <f>IF(T16&gt;0,PMT(+V16/12,60,-R16),"")</f>
        <v/>
      </c>
      <c r="AM16" s="99"/>
      <c r="AN16" s="98" t="str">
        <f>IF(T16&gt;0,PMT(V16/12,AO16*12,-R16,(-AP16*R16),1),"")</f>
        <v/>
      </c>
      <c r="AO16" s="207">
        <v>3</v>
      </c>
      <c r="AP16" s="208">
        <v>0.5</v>
      </c>
      <c r="AR16" s="725">
        <f t="shared" si="6"/>
        <v>1</v>
      </c>
      <c r="AS16" s="742" t="str">
        <f t="shared" si="7"/>
        <v/>
      </c>
      <c r="AT16" s="500" t="s">
        <v>69</v>
      </c>
      <c r="AX16" s="94"/>
      <c r="AY16" s="94"/>
      <c r="AZ16" s="94"/>
      <c r="BC16" s="94"/>
      <c r="BD16" s="94"/>
      <c r="BE16" s="94"/>
      <c r="BF16" s="94"/>
      <c r="BG16" s="357"/>
      <c r="BH16" s="94"/>
      <c r="BI16" s="94"/>
      <c r="BJ16" s="94"/>
      <c r="BK16" s="94"/>
      <c r="BL16" s="94"/>
      <c r="BM16" s="94"/>
      <c r="BN16" s="94"/>
      <c r="BO16" s="94"/>
      <c r="BP16" s="94"/>
      <c r="BQ16" s="94"/>
      <c r="BR16" s="94"/>
      <c r="BS16" s="94"/>
      <c r="BT16" s="94"/>
      <c r="BU16" s="94"/>
    </row>
    <row r="17" spans="1:73" s="28" customFormat="1" ht="18.600000000000001" customHeight="1" thickBot="1" x14ac:dyDescent="0.25">
      <c r="A17" s="1842"/>
      <c r="B17" s="1842"/>
      <c r="C17" s="1842"/>
      <c r="D17" s="1842"/>
      <c r="E17" s="1881" t="s">
        <v>1058</v>
      </c>
      <c r="F17" s="1881"/>
      <c r="G17" s="1881"/>
      <c r="H17" s="1881"/>
      <c r="I17" s="1881"/>
      <c r="J17" s="1881"/>
      <c r="K17" s="1881"/>
      <c r="L17" s="1881"/>
      <c r="M17" s="1881"/>
      <c r="N17" s="1881"/>
      <c r="O17" s="1881"/>
      <c r="P17" s="1881"/>
      <c r="Q17" s="1881"/>
      <c r="R17" s="1881"/>
      <c r="S17" s="1881"/>
      <c r="T17" s="1881"/>
      <c r="U17" s="1881"/>
      <c r="V17" s="1881"/>
      <c r="W17" s="1881"/>
      <c r="X17" s="1881"/>
      <c r="Y17" s="1881"/>
      <c r="Z17" s="1881"/>
      <c r="AA17" s="472"/>
      <c r="AB17" s="505"/>
      <c r="AC17" s="502"/>
      <c r="AD17" s="504"/>
      <c r="AE17" s="504"/>
      <c r="AF17" s="504"/>
      <c r="AG17" s="932"/>
      <c r="AH17" s="932"/>
      <c r="AI17" s="1008"/>
      <c r="AJ17" s="94"/>
      <c r="AK17" s="94"/>
      <c r="AL17" s="94"/>
      <c r="AM17" s="94"/>
      <c r="AN17" s="94"/>
      <c r="AO17" s="94"/>
      <c r="AP17" s="94"/>
      <c r="AQ17" s="94"/>
      <c r="AR17" s="725"/>
      <c r="AS17" s="94"/>
      <c r="AT17" s="94"/>
      <c r="AU17" s="94"/>
      <c r="AV17" s="94"/>
      <c r="AW17" s="94"/>
      <c r="AX17" s="94"/>
      <c r="AY17" s="94"/>
      <c r="AZ17" s="94"/>
      <c r="BA17" s="128"/>
      <c r="BB17" s="128"/>
      <c r="BC17" s="94"/>
      <c r="BD17" s="94"/>
      <c r="BE17" s="94"/>
      <c r="BF17" s="94"/>
      <c r="BG17" s="357"/>
      <c r="BH17" s="94"/>
      <c r="BI17" s="94"/>
      <c r="BJ17" s="94"/>
      <c r="BK17" s="94"/>
      <c r="BL17" s="94"/>
      <c r="BM17" s="94"/>
      <c r="BN17" s="94"/>
      <c r="BO17" s="94"/>
      <c r="BP17" s="94"/>
      <c r="BQ17" s="94"/>
      <c r="BR17" s="94"/>
      <c r="BS17" s="94"/>
      <c r="BT17" s="94"/>
      <c r="BU17" s="94"/>
    </row>
    <row r="18" spans="1:73" s="28" customFormat="1" ht="18.600000000000001" customHeight="1" x14ac:dyDescent="0.2">
      <c r="A18" s="1842"/>
      <c r="B18" s="1842"/>
      <c r="C18" s="1842"/>
      <c r="D18" s="1842"/>
      <c r="E18" s="1883" t="s">
        <v>23</v>
      </c>
      <c r="F18" s="1883"/>
      <c r="G18" s="1883"/>
      <c r="H18" s="1883"/>
      <c r="I18" s="1883"/>
      <c r="J18" s="1883"/>
      <c r="K18" s="1883"/>
      <c r="L18" s="1883"/>
      <c r="M18" s="1883"/>
      <c r="N18" s="1859" t="s">
        <v>67</v>
      </c>
      <c r="O18" s="1859"/>
      <c r="P18" s="1867" t="s">
        <v>26</v>
      </c>
      <c r="Q18" s="1867"/>
      <c r="R18" s="1860" t="s">
        <v>20</v>
      </c>
      <c r="S18" s="1860"/>
      <c r="T18" s="1860"/>
      <c r="U18" s="1860"/>
      <c r="V18" s="1860"/>
      <c r="W18" s="1860"/>
      <c r="X18" s="1860"/>
      <c r="Y18" s="1860"/>
      <c r="Z18" s="1860"/>
      <c r="AA18" s="472"/>
      <c r="AB18" s="505"/>
      <c r="AC18" s="502"/>
      <c r="AD18" s="504"/>
      <c r="AE18" s="504"/>
      <c r="AF18" s="504"/>
      <c r="AG18" s="932"/>
      <c r="AH18" s="932"/>
      <c r="AI18" s="1008"/>
      <c r="AJ18" s="94"/>
      <c r="AK18" s="94"/>
      <c r="AL18" s="94"/>
      <c r="AM18" s="94"/>
      <c r="AN18" s="94"/>
      <c r="AO18" s="94"/>
      <c r="AP18" s="94"/>
      <c r="AQ18" s="94"/>
      <c r="AR18" s="725"/>
      <c r="AS18" s="94"/>
      <c r="AT18" s="94"/>
      <c r="AU18" s="94"/>
      <c r="AV18" s="94"/>
      <c r="AW18" s="94"/>
      <c r="AX18" s="94"/>
      <c r="AY18" s="94"/>
      <c r="AZ18" s="94"/>
      <c r="BA18" s="128"/>
      <c r="BB18" s="128"/>
      <c r="BC18" s="94"/>
      <c r="BD18" s="94"/>
      <c r="BE18" s="94"/>
      <c r="BF18" s="94"/>
      <c r="BG18" s="357"/>
      <c r="BH18" s="94"/>
      <c r="BI18" s="94"/>
      <c r="BJ18" s="94"/>
      <c r="BK18" s="94"/>
      <c r="BL18" s="94"/>
      <c r="BM18" s="94"/>
      <c r="BN18" s="94"/>
      <c r="BO18" s="94"/>
      <c r="BP18" s="94"/>
      <c r="BQ18" s="94"/>
      <c r="BR18" s="94"/>
      <c r="BS18" s="94"/>
      <c r="BT18" s="94"/>
      <c r="BU18" s="94"/>
    </row>
    <row r="19" spans="1:73" s="28" customFormat="1" ht="19.149999999999999" customHeight="1" x14ac:dyDescent="0.25">
      <c r="A19" s="1842" t="s">
        <v>678</v>
      </c>
      <c r="B19" s="1842"/>
      <c r="C19" s="1842"/>
      <c r="D19" s="1842"/>
      <c r="E19" s="1853"/>
      <c r="F19" s="1854"/>
      <c r="G19" s="1854"/>
      <c r="H19" s="1854"/>
      <c r="I19" s="1854"/>
      <c r="J19" s="1854"/>
      <c r="K19" s="1854"/>
      <c r="L19" s="1854"/>
      <c r="M19" s="1855"/>
      <c r="N19" s="1865"/>
      <c r="O19" s="1866"/>
      <c r="P19" s="1845"/>
      <c r="Q19" s="1846"/>
      <c r="R19" s="1877"/>
      <c r="S19" s="1878"/>
      <c r="T19" s="1878"/>
      <c r="U19" s="1878"/>
      <c r="V19" s="1878"/>
      <c r="W19" s="1878"/>
      <c r="X19" s="1878"/>
      <c r="Y19" s="1878"/>
      <c r="Z19" s="1879"/>
      <c r="AA19" s="473"/>
      <c r="AB19" s="505"/>
      <c r="AC19" s="931"/>
      <c r="AD19" s="932"/>
      <c r="AE19" s="932"/>
      <c r="AF19" s="932"/>
      <c r="AG19" s="932"/>
      <c r="AH19" s="932"/>
      <c r="AI19" s="1008"/>
      <c r="AJ19" s="94"/>
      <c r="AK19" s="94"/>
      <c r="AL19" s="94"/>
      <c r="AM19" s="94"/>
      <c r="AN19" s="94"/>
      <c r="AO19" s="94"/>
      <c r="AP19" s="94"/>
      <c r="AQ19" s="94"/>
      <c r="AR19" s="725"/>
      <c r="AS19" s="94"/>
      <c r="AT19" s="94"/>
      <c r="AU19" s="94"/>
      <c r="AV19" s="94"/>
      <c r="AW19" s="94"/>
      <c r="AX19" s="94"/>
      <c r="AY19" s="94"/>
      <c r="AZ19" s="94"/>
      <c r="BA19" s="128"/>
      <c r="BB19" s="128"/>
      <c r="BC19" s="94"/>
      <c r="BD19" s="94"/>
      <c r="BE19" s="94"/>
      <c r="BF19" s="94"/>
      <c r="BG19" s="94"/>
      <c r="BH19" s="94"/>
      <c r="BI19" s="94"/>
      <c r="BJ19" s="94"/>
      <c r="BK19" s="94"/>
      <c r="BL19" s="94"/>
      <c r="BM19" s="94"/>
      <c r="BN19" s="94"/>
      <c r="BO19" s="94"/>
      <c r="BP19" s="94"/>
      <c r="BQ19" s="94"/>
      <c r="BR19" s="94"/>
      <c r="BS19" s="94"/>
      <c r="BT19" s="94"/>
      <c r="BU19" s="94"/>
    </row>
    <row r="20" spans="1:73" s="28" customFormat="1" ht="19.149999999999999" customHeight="1" x14ac:dyDescent="0.25">
      <c r="A20" s="1842" t="s">
        <v>678</v>
      </c>
      <c r="B20" s="1842"/>
      <c r="C20" s="1842"/>
      <c r="D20" s="1842"/>
      <c r="E20" s="1853"/>
      <c r="F20" s="1854"/>
      <c r="G20" s="1854"/>
      <c r="H20" s="1854"/>
      <c r="I20" s="1854"/>
      <c r="J20" s="1854"/>
      <c r="K20" s="1854"/>
      <c r="L20" s="1854"/>
      <c r="M20" s="1855"/>
      <c r="N20" s="1865"/>
      <c r="O20" s="1866"/>
      <c r="P20" s="1845"/>
      <c r="Q20" s="1846"/>
      <c r="R20" s="1877"/>
      <c r="S20" s="1878"/>
      <c r="T20" s="1878"/>
      <c r="U20" s="1878"/>
      <c r="V20" s="1878"/>
      <c r="W20" s="1878"/>
      <c r="X20" s="1878"/>
      <c r="Y20" s="1878"/>
      <c r="Z20" s="1879"/>
      <c r="AA20" s="473"/>
      <c r="AB20" s="505"/>
      <c r="AC20" s="931"/>
      <c r="AD20" s="932"/>
      <c r="AE20" s="932"/>
      <c r="AF20" s="932"/>
      <c r="AG20" s="932"/>
      <c r="AH20" s="932"/>
      <c r="AI20" s="1008"/>
      <c r="AJ20" s="94"/>
      <c r="AK20" s="94"/>
      <c r="AL20" s="94"/>
      <c r="AM20" s="94"/>
      <c r="AN20" s="94"/>
      <c r="AO20" s="94"/>
      <c r="AP20" s="94"/>
      <c r="AQ20" s="94"/>
      <c r="AR20" s="725"/>
      <c r="AS20" s="94"/>
      <c r="AT20" s="94"/>
      <c r="AU20" s="94"/>
      <c r="AV20" s="94"/>
      <c r="AW20" s="94"/>
      <c r="AX20" s="94"/>
      <c r="AY20" s="94"/>
      <c r="AZ20" s="94"/>
      <c r="BA20" s="128"/>
      <c r="BB20" s="128"/>
      <c r="BC20" s="94"/>
      <c r="BD20" s="94"/>
      <c r="BE20" s="94"/>
      <c r="BF20" s="94"/>
      <c r="BG20" s="94"/>
      <c r="BH20" s="94"/>
      <c r="BI20" s="94"/>
      <c r="BJ20" s="94"/>
      <c r="BK20" s="94"/>
      <c r="BL20" s="94"/>
      <c r="BM20" s="94"/>
      <c r="BN20" s="94"/>
      <c r="BO20" s="94"/>
      <c r="BP20" s="94"/>
      <c r="BQ20" s="94"/>
      <c r="BR20" s="94"/>
      <c r="BS20" s="94"/>
      <c r="BT20" s="94"/>
      <c r="BU20" s="94"/>
    </row>
    <row r="21" spans="1:73" s="28" customFormat="1" ht="19.149999999999999" customHeight="1" x14ac:dyDescent="0.25">
      <c r="A21" s="1842" t="s">
        <v>678</v>
      </c>
      <c r="B21" s="1842"/>
      <c r="C21" s="1842"/>
      <c r="D21" s="1842"/>
      <c r="E21" s="1853"/>
      <c r="F21" s="1854"/>
      <c r="G21" s="1854"/>
      <c r="H21" s="1854"/>
      <c r="I21" s="1854"/>
      <c r="J21" s="1854"/>
      <c r="K21" s="1854"/>
      <c r="L21" s="1854"/>
      <c r="M21" s="1855"/>
      <c r="N21" s="1865"/>
      <c r="O21" s="1866"/>
      <c r="P21" s="1845"/>
      <c r="Q21" s="1846"/>
      <c r="R21" s="1877"/>
      <c r="S21" s="1878"/>
      <c r="T21" s="1878"/>
      <c r="U21" s="1878"/>
      <c r="V21" s="1878"/>
      <c r="W21" s="1878"/>
      <c r="X21" s="1878"/>
      <c r="Y21" s="1878"/>
      <c r="Z21" s="1879"/>
      <c r="AA21" s="473"/>
      <c r="AB21" s="505"/>
      <c r="AC21" s="931"/>
      <c r="AD21" s="932"/>
      <c r="AE21" s="932"/>
      <c r="AF21" s="932"/>
      <c r="AG21" s="932"/>
      <c r="AH21" s="932"/>
      <c r="AI21" s="1008"/>
      <c r="AJ21" s="94"/>
      <c r="AK21" s="94"/>
      <c r="AL21" s="94"/>
      <c r="AM21" s="94"/>
      <c r="AN21" s="94"/>
      <c r="AO21" s="94"/>
      <c r="AP21" s="94"/>
      <c r="AQ21" s="94"/>
      <c r="AR21" s="725"/>
      <c r="AS21" s="94"/>
      <c r="AT21" s="94"/>
      <c r="AU21" s="94"/>
      <c r="AV21" s="94"/>
      <c r="AW21" s="94"/>
      <c r="AX21" s="94"/>
      <c r="AY21" s="94"/>
      <c r="AZ21" s="94"/>
      <c r="BA21" s="128"/>
      <c r="BB21" s="128"/>
      <c r="BC21" s="94"/>
      <c r="BD21" s="94"/>
      <c r="BE21" s="94"/>
      <c r="BF21" s="94"/>
      <c r="BG21" s="94"/>
      <c r="BH21" s="94"/>
      <c r="BI21" s="94"/>
      <c r="BJ21" s="94"/>
      <c r="BK21" s="94"/>
      <c r="BL21" s="94"/>
      <c r="BM21" s="94"/>
      <c r="BN21" s="94"/>
      <c r="BO21" s="94"/>
      <c r="BP21" s="94"/>
      <c r="BQ21" s="94"/>
      <c r="BR21" s="94"/>
      <c r="BS21" s="94"/>
      <c r="BT21" s="94"/>
      <c r="BU21" s="94"/>
    </row>
    <row r="22" spans="1:73" s="28" customFormat="1" ht="19.149999999999999" customHeight="1" x14ac:dyDescent="0.25">
      <c r="A22" s="1842" t="s">
        <v>1056</v>
      </c>
      <c r="B22" s="1842"/>
      <c r="C22" s="1842"/>
      <c r="D22" s="1842"/>
      <c r="E22" s="1853"/>
      <c r="F22" s="1854"/>
      <c r="G22" s="1854"/>
      <c r="H22" s="1854"/>
      <c r="I22" s="1854"/>
      <c r="J22" s="1854"/>
      <c r="K22" s="1854"/>
      <c r="L22" s="1854"/>
      <c r="M22" s="1855"/>
      <c r="N22" s="1865"/>
      <c r="O22" s="1866"/>
      <c r="P22" s="1845"/>
      <c r="Q22" s="1846"/>
      <c r="R22" s="1877"/>
      <c r="S22" s="1878"/>
      <c r="T22" s="1878"/>
      <c r="U22" s="1878"/>
      <c r="V22" s="1878"/>
      <c r="W22" s="1878"/>
      <c r="X22" s="1878"/>
      <c r="Y22" s="1878"/>
      <c r="Z22" s="1879"/>
      <c r="AA22" s="473"/>
      <c r="AB22" s="505"/>
      <c r="AC22" s="931"/>
      <c r="AD22" s="932"/>
      <c r="AE22" s="932"/>
      <c r="AF22" s="932"/>
      <c r="AG22" s="932"/>
      <c r="AH22" s="932"/>
      <c r="AI22" s="1008"/>
      <c r="AJ22" s="94"/>
      <c r="AK22" s="94"/>
      <c r="AL22" s="94"/>
      <c r="AM22" s="94"/>
      <c r="AN22" s="94"/>
      <c r="AO22" s="94"/>
      <c r="AP22" s="94"/>
      <c r="AQ22" s="94"/>
      <c r="AR22" s="725"/>
      <c r="AS22" s="94"/>
      <c r="AT22" s="94"/>
      <c r="AU22" s="94"/>
      <c r="AV22" s="94"/>
      <c r="AW22" s="94"/>
      <c r="AX22" s="94"/>
      <c r="AY22" s="94"/>
      <c r="AZ22" s="94"/>
      <c r="BA22" s="128"/>
      <c r="BB22" s="128"/>
      <c r="BC22" s="94"/>
      <c r="BD22" s="94"/>
      <c r="BE22" s="94"/>
      <c r="BF22" s="94"/>
      <c r="BG22" s="94"/>
      <c r="BH22" s="94"/>
      <c r="BI22" s="94"/>
      <c r="BJ22" s="94"/>
      <c r="BK22" s="94"/>
      <c r="BL22" s="94"/>
      <c r="BM22" s="94"/>
      <c r="BN22" s="94"/>
      <c r="BO22" s="94"/>
      <c r="BP22" s="94"/>
      <c r="BQ22" s="94"/>
      <c r="BR22" s="94"/>
      <c r="BS22" s="94"/>
      <c r="BT22" s="94"/>
      <c r="BU22" s="94"/>
    </row>
    <row r="23" spans="1:73" s="28" customFormat="1" ht="19.149999999999999" customHeight="1" x14ac:dyDescent="0.25">
      <c r="A23" s="1842" t="s">
        <v>1056</v>
      </c>
      <c r="B23" s="1842"/>
      <c r="C23" s="1842"/>
      <c r="D23" s="1842"/>
      <c r="E23" s="1853"/>
      <c r="F23" s="1854"/>
      <c r="G23" s="1854"/>
      <c r="H23" s="1854"/>
      <c r="I23" s="1854"/>
      <c r="J23" s="1854"/>
      <c r="K23" s="1854"/>
      <c r="L23" s="1854"/>
      <c r="M23" s="1855"/>
      <c r="N23" s="1865"/>
      <c r="O23" s="1866"/>
      <c r="P23" s="1845"/>
      <c r="Q23" s="1846"/>
      <c r="R23" s="1877"/>
      <c r="S23" s="1878"/>
      <c r="T23" s="1878"/>
      <c r="U23" s="1878"/>
      <c r="V23" s="1878"/>
      <c r="W23" s="1878"/>
      <c r="X23" s="1878"/>
      <c r="Y23" s="1878"/>
      <c r="Z23" s="1879"/>
      <c r="AA23" s="473"/>
      <c r="AB23" s="505"/>
      <c r="AC23" s="931"/>
      <c r="AD23" s="932"/>
      <c r="AE23" s="932"/>
      <c r="AF23" s="932"/>
      <c r="AG23" s="932"/>
      <c r="AH23" s="932"/>
      <c r="AI23" s="1008"/>
      <c r="AJ23" s="94"/>
      <c r="AK23" s="94"/>
      <c r="AL23" s="94"/>
      <c r="AM23" s="94"/>
      <c r="AN23" s="94"/>
      <c r="AO23" s="94"/>
      <c r="AP23" s="94"/>
      <c r="AQ23" s="94"/>
      <c r="AR23" s="725"/>
      <c r="AS23" s="94"/>
      <c r="AT23" s="94"/>
      <c r="AU23" s="94"/>
      <c r="AV23" s="94"/>
      <c r="AW23" s="94"/>
      <c r="AX23" s="94"/>
      <c r="AY23" s="94"/>
      <c r="AZ23" s="94"/>
      <c r="BA23" s="128"/>
      <c r="BB23" s="128"/>
      <c r="BC23" s="94"/>
      <c r="BD23" s="94"/>
      <c r="BE23" s="94"/>
      <c r="BF23" s="94"/>
      <c r="BG23" s="94"/>
      <c r="BH23" s="94"/>
      <c r="BI23" s="94"/>
      <c r="BJ23" s="94"/>
      <c r="BK23" s="94"/>
      <c r="BL23" s="94"/>
      <c r="BM23" s="94"/>
      <c r="BN23" s="94"/>
      <c r="BO23" s="94"/>
      <c r="BP23" s="94"/>
      <c r="BQ23" s="94"/>
      <c r="BR23" s="94"/>
      <c r="BS23" s="94"/>
      <c r="BT23" s="94"/>
      <c r="BU23" s="94"/>
    </row>
    <row r="24" spans="1:73" s="28" customFormat="1" ht="19.149999999999999" customHeight="1" x14ac:dyDescent="0.25">
      <c r="A24" s="1842" t="s">
        <v>1056</v>
      </c>
      <c r="B24" s="1842"/>
      <c r="C24" s="1842"/>
      <c r="D24" s="1842"/>
      <c r="E24" s="1853"/>
      <c r="F24" s="1854"/>
      <c r="G24" s="1854"/>
      <c r="H24" s="1854"/>
      <c r="I24" s="1854"/>
      <c r="J24" s="1854"/>
      <c r="K24" s="1854"/>
      <c r="L24" s="1854"/>
      <c r="M24" s="1855"/>
      <c r="N24" s="1865"/>
      <c r="O24" s="1866"/>
      <c r="P24" s="1845"/>
      <c r="Q24" s="1846"/>
      <c r="R24" s="1877"/>
      <c r="S24" s="1878"/>
      <c r="T24" s="1878"/>
      <c r="U24" s="1878"/>
      <c r="V24" s="1878"/>
      <c r="W24" s="1878"/>
      <c r="X24" s="1878"/>
      <c r="Y24" s="1878"/>
      <c r="Z24" s="1879"/>
      <c r="AA24" s="473"/>
      <c r="AB24" s="505"/>
      <c r="AC24" s="931"/>
      <c r="AD24" s="932"/>
      <c r="AE24" s="932"/>
      <c r="AF24" s="932"/>
      <c r="AG24" s="932"/>
      <c r="AH24" s="932"/>
      <c r="AI24" s="1008"/>
      <c r="AJ24" s="94"/>
      <c r="AK24" s="94"/>
      <c r="AL24" s="94"/>
      <c r="AM24" s="94"/>
      <c r="AN24" s="94"/>
      <c r="AO24" s="94"/>
      <c r="AP24" s="94"/>
      <c r="AQ24" s="94"/>
      <c r="AR24" s="725"/>
      <c r="AS24" s="94"/>
      <c r="AT24" s="94"/>
      <c r="AU24" s="94"/>
      <c r="AV24" s="94"/>
      <c r="AW24" s="94"/>
      <c r="AX24" s="94"/>
      <c r="AY24" s="94"/>
      <c r="AZ24" s="94"/>
      <c r="BA24" s="128"/>
      <c r="BB24" s="128"/>
      <c r="BC24" s="94"/>
      <c r="BD24" s="94"/>
      <c r="BE24" s="94"/>
      <c r="BF24" s="94"/>
      <c r="BG24" s="94"/>
      <c r="BH24" s="94"/>
      <c r="BI24" s="94"/>
      <c r="BJ24" s="94"/>
      <c r="BK24" s="94"/>
      <c r="BL24" s="94"/>
      <c r="BM24" s="94"/>
      <c r="BN24" s="94"/>
      <c r="BO24" s="94"/>
      <c r="BP24" s="94"/>
      <c r="BQ24" s="94"/>
      <c r="BR24" s="94"/>
      <c r="BS24" s="94"/>
      <c r="BT24" s="94"/>
      <c r="BU24" s="94"/>
    </row>
    <row r="25" spans="1:73" s="28" customFormat="1" ht="19.149999999999999" customHeight="1" x14ac:dyDescent="0.25">
      <c r="A25" s="1842" t="s">
        <v>1057</v>
      </c>
      <c r="B25" s="1842"/>
      <c r="C25" s="1842"/>
      <c r="D25" s="1842"/>
      <c r="E25" s="1853"/>
      <c r="F25" s="1854"/>
      <c r="G25" s="1854"/>
      <c r="H25" s="1854"/>
      <c r="I25" s="1854"/>
      <c r="J25" s="1854"/>
      <c r="K25" s="1854"/>
      <c r="L25" s="1854"/>
      <c r="M25" s="1855"/>
      <c r="N25" s="1865"/>
      <c r="O25" s="1866"/>
      <c r="P25" s="1845"/>
      <c r="Q25" s="1846"/>
      <c r="R25" s="1877"/>
      <c r="S25" s="1878"/>
      <c r="T25" s="1878"/>
      <c r="U25" s="1878"/>
      <c r="V25" s="1878"/>
      <c r="W25" s="1878"/>
      <c r="X25" s="1878"/>
      <c r="Y25" s="1878"/>
      <c r="Z25" s="1879"/>
      <c r="AA25" s="473"/>
      <c r="AB25" s="505"/>
      <c r="AC25" s="931"/>
      <c r="AD25" s="932"/>
      <c r="AE25" s="932"/>
      <c r="AF25" s="932"/>
      <c r="AG25" s="932"/>
      <c r="AH25" s="932"/>
      <c r="AI25" s="1008"/>
      <c r="AJ25" s="94"/>
      <c r="AK25" s="94"/>
      <c r="AL25" s="94"/>
      <c r="AM25" s="94"/>
      <c r="AN25" s="94"/>
      <c r="AO25" s="94"/>
      <c r="AP25" s="94"/>
      <c r="AQ25" s="94"/>
      <c r="AR25" s="725"/>
      <c r="AS25" s="94"/>
      <c r="AT25" s="94"/>
      <c r="AU25" s="94"/>
      <c r="AV25" s="94"/>
      <c r="AW25" s="94"/>
      <c r="AX25" s="94"/>
      <c r="AY25" s="94"/>
      <c r="AZ25" s="94"/>
      <c r="BA25" s="128"/>
      <c r="BB25" s="128"/>
      <c r="BC25" s="94"/>
      <c r="BD25" s="94"/>
      <c r="BE25" s="94"/>
      <c r="BF25" s="94"/>
      <c r="BG25" s="94"/>
      <c r="BH25" s="94"/>
      <c r="BI25" s="94"/>
      <c r="BJ25" s="94"/>
      <c r="BK25" s="94"/>
      <c r="BL25" s="94"/>
      <c r="BM25" s="94"/>
      <c r="BN25" s="94"/>
      <c r="BO25" s="94"/>
      <c r="BP25" s="94"/>
      <c r="BQ25" s="94"/>
      <c r="BR25" s="94"/>
      <c r="BS25" s="94"/>
      <c r="BT25" s="94"/>
      <c r="BU25" s="94"/>
    </row>
    <row r="26" spans="1:73" s="28" customFormat="1" ht="19.149999999999999" customHeight="1" x14ac:dyDescent="0.25">
      <c r="A26" s="1842" t="s">
        <v>679</v>
      </c>
      <c r="B26" s="1842"/>
      <c r="C26" s="1842"/>
      <c r="D26" s="1842"/>
      <c r="E26" s="1853"/>
      <c r="F26" s="1854"/>
      <c r="G26" s="1854"/>
      <c r="H26" s="1854"/>
      <c r="I26" s="1854"/>
      <c r="J26" s="1854"/>
      <c r="K26" s="1854"/>
      <c r="L26" s="1854"/>
      <c r="M26" s="1855"/>
      <c r="N26" s="1865"/>
      <c r="O26" s="1866"/>
      <c r="P26" s="1845"/>
      <c r="Q26" s="1846"/>
      <c r="R26" s="1877"/>
      <c r="S26" s="1878"/>
      <c r="T26" s="1878"/>
      <c r="U26" s="1878"/>
      <c r="V26" s="1878"/>
      <c r="W26" s="1878"/>
      <c r="X26" s="1878"/>
      <c r="Y26" s="1878"/>
      <c r="Z26" s="1879"/>
      <c r="AA26" s="473"/>
      <c r="AB26" s="505"/>
      <c r="AC26" s="931"/>
      <c r="AD26" s="932"/>
      <c r="AE26" s="932"/>
      <c r="AF26" s="932"/>
      <c r="AG26" s="932"/>
      <c r="AH26" s="932"/>
      <c r="AI26" s="1008"/>
      <c r="AJ26" s="94"/>
      <c r="AK26" s="94"/>
      <c r="AL26" s="94"/>
      <c r="AM26" s="94"/>
      <c r="AN26" s="94"/>
      <c r="AO26" s="94"/>
      <c r="AP26" s="94"/>
      <c r="AQ26" s="94"/>
      <c r="AR26" s="725"/>
      <c r="AS26" s="94"/>
      <c r="AT26" s="94"/>
      <c r="AU26" s="94"/>
      <c r="AV26" s="94"/>
      <c r="AW26" s="94"/>
      <c r="AX26" s="94"/>
      <c r="AY26" s="94"/>
      <c r="AZ26" s="94"/>
      <c r="BA26" s="128"/>
      <c r="BB26" s="128"/>
      <c r="BC26" s="94"/>
      <c r="BD26" s="94"/>
      <c r="BE26" s="94"/>
      <c r="BF26" s="94"/>
      <c r="BG26" s="94"/>
      <c r="BH26" s="94"/>
      <c r="BI26" s="94"/>
      <c r="BJ26" s="94"/>
      <c r="BK26" s="94"/>
      <c r="BL26" s="94"/>
      <c r="BM26" s="94"/>
      <c r="BN26" s="94"/>
      <c r="BO26" s="94"/>
      <c r="BP26" s="94"/>
      <c r="BQ26" s="94"/>
      <c r="BR26" s="94"/>
      <c r="BS26" s="94"/>
      <c r="BT26" s="94"/>
      <c r="BU26" s="94"/>
    </row>
    <row r="27" spans="1:73" s="28" customFormat="1" ht="19.149999999999999" customHeight="1" x14ac:dyDescent="0.25">
      <c r="A27" s="1842" t="s">
        <v>680</v>
      </c>
      <c r="B27" s="1842"/>
      <c r="C27" s="1842"/>
      <c r="D27" s="1842"/>
      <c r="E27" s="1853"/>
      <c r="F27" s="1854"/>
      <c r="G27" s="1854"/>
      <c r="H27" s="1854"/>
      <c r="I27" s="1854"/>
      <c r="J27" s="1854"/>
      <c r="K27" s="1854"/>
      <c r="L27" s="1854"/>
      <c r="M27" s="1855"/>
      <c r="N27" s="1865"/>
      <c r="O27" s="1866"/>
      <c r="P27" s="1845"/>
      <c r="Q27" s="1846"/>
      <c r="R27" s="1877"/>
      <c r="S27" s="1878"/>
      <c r="T27" s="1878"/>
      <c r="U27" s="1878"/>
      <c r="V27" s="1878"/>
      <c r="W27" s="1878"/>
      <c r="X27" s="1878"/>
      <c r="Y27" s="1878"/>
      <c r="Z27" s="1879"/>
      <c r="AA27" s="473"/>
      <c r="AB27" s="505"/>
      <c r="AC27" s="931"/>
      <c r="AD27" s="933"/>
      <c r="AE27" s="933"/>
      <c r="AF27" s="933"/>
      <c r="AG27" s="932"/>
      <c r="AH27" s="932"/>
      <c r="AI27" s="1008"/>
      <c r="AJ27" s="94"/>
      <c r="AK27" s="94"/>
      <c r="AL27" s="94"/>
      <c r="AM27" s="94"/>
      <c r="AN27" s="94"/>
      <c r="AO27" s="94"/>
      <c r="AP27" s="94"/>
      <c r="AQ27" s="94"/>
      <c r="AR27" s="725"/>
      <c r="AS27" s="94"/>
      <c r="AT27" s="94"/>
      <c r="AU27" s="94"/>
      <c r="AV27" s="94"/>
      <c r="AW27" s="94"/>
      <c r="AX27" s="94"/>
      <c r="AY27" s="94"/>
      <c r="AZ27" s="94"/>
      <c r="BA27" s="128"/>
      <c r="BB27" s="128"/>
      <c r="BC27" s="94"/>
      <c r="BD27" s="94"/>
      <c r="BE27" s="94"/>
      <c r="BF27" s="94"/>
      <c r="BG27" s="94"/>
      <c r="BH27" s="94"/>
      <c r="BI27" s="94"/>
      <c r="BJ27" s="94"/>
      <c r="BK27" s="94"/>
      <c r="BL27" s="94"/>
      <c r="BM27" s="94"/>
      <c r="BN27" s="94"/>
      <c r="BO27" s="94"/>
      <c r="BP27" s="94"/>
      <c r="BQ27" s="94"/>
      <c r="BR27" s="94"/>
      <c r="BS27" s="94"/>
      <c r="BT27" s="94"/>
      <c r="BU27" s="94"/>
    </row>
    <row r="28" spans="1:73" s="28" customFormat="1" ht="18.600000000000001" customHeight="1" thickBot="1" x14ac:dyDescent="0.3">
      <c r="A28" s="1842"/>
      <c r="B28" s="1842"/>
      <c r="C28" s="1842"/>
      <c r="D28" s="1842"/>
      <c r="E28" s="1880" t="s">
        <v>632</v>
      </c>
      <c r="F28" s="1880"/>
      <c r="G28" s="1880"/>
      <c r="H28" s="1880"/>
      <c r="I28" s="1880"/>
      <c r="J28" s="1880"/>
      <c r="K28" s="1880"/>
      <c r="L28" s="1880"/>
      <c r="M28" s="1880"/>
      <c r="N28" s="1880"/>
      <c r="O28" s="1880"/>
      <c r="P28" s="1880"/>
      <c r="Q28" s="1880"/>
      <c r="R28" s="1880"/>
      <c r="S28" s="1880"/>
      <c r="T28" s="1880"/>
      <c r="U28" s="1880"/>
      <c r="V28" s="1880"/>
      <c r="W28" s="1880"/>
      <c r="X28" s="1880"/>
      <c r="Y28" s="1880"/>
      <c r="Z28" s="1880"/>
      <c r="AA28" s="463"/>
      <c r="AB28" s="934"/>
      <c r="AC28" s="931"/>
      <c r="AD28" s="932"/>
      <c r="AE28" s="932"/>
      <c r="AF28" s="932"/>
      <c r="AG28" s="932"/>
      <c r="AH28" s="932"/>
      <c r="AI28" s="1008"/>
      <c r="AJ28" s="94"/>
      <c r="AK28" s="94"/>
      <c r="AL28" s="94"/>
      <c r="AM28" s="94"/>
      <c r="AN28" s="94"/>
      <c r="AO28" s="94"/>
      <c r="AP28" s="94"/>
      <c r="AQ28" s="94"/>
      <c r="AR28" s="725"/>
      <c r="AS28" s="94"/>
      <c r="AT28" s="94"/>
      <c r="AU28" s="94"/>
      <c r="AV28" s="94"/>
      <c r="AW28" s="94"/>
      <c r="AX28" s="94"/>
      <c r="AY28" s="94"/>
      <c r="AZ28" s="94"/>
      <c r="BA28" s="128"/>
      <c r="BB28" s="128"/>
      <c r="BC28" s="94"/>
      <c r="BD28" s="94"/>
      <c r="BE28" s="94"/>
      <c r="BF28" s="94"/>
      <c r="BG28" s="94"/>
      <c r="BH28" s="94"/>
      <c r="BI28" s="94"/>
      <c r="BJ28" s="94"/>
      <c r="BK28" s="94"/>
      <c r="BL28" s="94"/>
      <c r="BM28" s="94"/>
      <c r="BN28" s="94"/>
      <c r="BO28" s="94"/>
      <c r="BP28" s="94"/>
      <c r="BQ28" s="94"/>
      <c r="BR28" s="94"/>
      <c r="BS28" s="94"/>
      <c r="BT28" s="94"/>
      <c r="BU28" s="94"/>
    </row>
    <row r="29" spans="1:73" s="28" customFormat="1" ht="18.75" customHeight="1" x14ac:dyDescent="0.2">
      <c r="A29" s="1892" t="s">
        <v>156</v>
      </c>
      <c r="B29" s="1892"/>
      <c r="C29" s="1892"/>
      <c r="D29" s="1892"/>
      <c r="E29" s="1860" t="s">
        <v>23</v>
      </c>
      <c r="F29" s="1860"/>
      <c r="G29" s="1860"/>
      <c r="H29" s="1860"/>
      <c r="I29" s="1860"/>
      <c r="J29" s="1860"/>
      <c r="K29" s="1860"/>
      <c r="L29" s="1860"/>
      <c r="M29" s="1860"/>
      <c r="N29" s="651"/>
      <c r="O29" s="651"/>
      <c r="P29" s="1859" t="s">
        <v>26</v>
      </c>
      <c r="Q29" s="1859"/>
      <c r="R29" s="1859" t="s">
        <v>27</v>
      </c>
      <c r="S29" s="1859"/>
      <c r="T29" s="1859" t="s">
        <v>28</v>
      </c>
      <c r="U29" s="1859"/>
      <c r="V29" s="1891" t="s">
        <v>29</v>
      </c>
      <c r="W29" s="1891"/>
      <c r="X29" s="1893" t="s">
        <v>68</v>
      </c>
      <c r="Y29" s="1893"/>
      <c r="Z29" s="1893"/>
      <c r="AA29" s="463"/>
      <c r="AB29" s="506"/>
      <c r="AC29" s="502"/>
      <c r="AD29" s="504"/>
      <c r="AE29" s="504"/>
      <c r="AF29" s="726" t="s">
        <v>707</v>
      </c>
      <c r="AG29" s="932"/>
      <c r="AH29" s="932"/>
      <c r="AI29" s="1008"/>
      <c r="AJ29" s="100" t="s">
        <v>157</v>
      </c>
      <c r="AK29" s="100">
        <v>0.03</v>
      </c>
      <c r="AL29" s="100">
        <v>2.5000000000000001E-2</v>
      </c>
      <c r="AM29" s="95"/>
      <c r="AN29" s="95" t="s">
        <v>165</v>
      </c>
      <c r="AO29" s="95" t="s">
        <v>167</v>
      </c>
      <c r="AP29" s="95" t="s">
        <v>168</v>
      </c>
      <c r="AQ29" s="94"/>
      <c r="AR29" s="97" t="s">
        <v>707</v>
      </c>
      <c r="AS29" s="1890" t="s">
        <v>708</v>
      </c>
      <c r="AT29" s="1890"/>
      <c r="AU29" s="94"/>
      <c r="AV29" s="94"/>
      <c r="AW29" s="94"/>
      <c r="AX29" s="94"/>
      <c r="AY29" s="94"/>
      <c r="AZ29" s="94"/>
      <c r="BA29" s="128"/>
      <c r="BB29" s="128"/>
      <c r="BC29" s="94"/>
      <c r="BD29" s="94"/>
      <c r="BE29" s="94"/>
      <c r="BF29" s="94"/>
      <c r="BG29" s="94"/>
      <c r="BH29" s="94"/>
      <c r="BI29" s="94"/>
      <c r="BJ29" s="94"/>
      <c r="BK29" s="94"/>
      <c r="BL29" s="94"/>
      <c r="BM29" s="94"/>
      <c r="BN29" s="94"/>
      <c r="BO29" s="94"/>
      <c r="BP29" s="94"/>
      <c r="BQ29" s="94"/>
      <c r="BR29" s="94"/>
      <c r="BS29" s="94"/>
      <c r="BT29" s="94"/>
      <c r="BU29" s="94"/>
    </row>
    <row r="30" spans="1:73" s="28" customFormat="1" ht="18.75" customHeight="1" x14ac:dyDescent="0.25">
      <c r="A30" s="1842" t="s">
        <v>288</v>
      </c>
      <c r="B30" s="1842"/>
      <c r="C30" s="1842"/>
      <c r="D30" s="1842"/>
      <c r="E30" s="1542"/>
      <c r="F30" s="1543"/>
      <c r="G30" s="1543"/>
      <c r="H30" s="1543"/>
      <c r="I30" s="1543"/>
      <c r="J30" s="1543"/>
      <c r="K30" s="1543"/>
      <c r="L30" s="1543"/>
      <c r="M30" s="1544"/>
      <c r="P30" s="1845"/>
      <c r="Q30" s="1846"/>
      <c r="R30" s="1847"/>
      <c r="S30" s="1848"/>
      <c r="T30" s="1847"/>
      <c r="U30" s="1848"/>
      <c r="V30" s="1849"/>
      <c r="W30" s="1850"/>
      <c r="X30" s="1847"/>
      <c r="Y30" s="1869"/>
      <c r="Z30" s="500" t="s">
        <v>69</v>
      </c>
      <c r="AA30" s="463"/>
      <c r="AB30" s="506"/>
      <c r="AC30" s="502"/>
      <c r="AD30" s="504"/>
      <c r="AE30" s="504"/>
      <c r="AF30" s="741" t="s">
        <v>551</v>
      </c>
      <c r="AG30" s="932" t="str">
        <f t="shared" si="5"/>
        <v/>
      </c>
      <c r="AH30" s="932"/>
      <c r="AI30" s="1008"/>
      <c r="AJ30" s="98" t="str">
        <f t="shared" ref="AJ30:AJ35" si="9">IF(T30&gt;0,+V30*R30/12,"")</f>
        <v/>
      </c>
      <c r="AK30" s="98" t="str">
        <f t="shared" ref="AK30:AK35" si="10">IF(R30&gt;0,+R30*0.03,"")</f>
        <v/>
      </c>
      <c r="AL30" s="98" t="str">
        <f t="shared" ref="AL30:AL35" si="11">IF(R30&gt;0,+R30*0.025,"")</f>
        <v/>
      </c>
      <c r="AM30" s="99"/>
      <c r="AN30" s="98" t="str">
        <f t="shared" ref="AN30:AN35" si="12">IF(T30&gt;0,PMT(V30/12,AO30*12,-T30,(-AP30*R30),1),"")</f>
        <v/>
      </c>
      <c r="AO30" s="207">
        <v>5</v>
      </c>
      <c r="AP30" s="208">
        <v>0.5</v>
      </c>
      <c r="AQ30" s="94"/>
      <c r="AR30" s="1006">
        <f t="shared" si="6"/>
        <v>1</v>
      </c>
      <c r="AS30" s="742" t="str">
        <f t="shared" ref="AS30:AS35" si="13">IF(X30="","",+X30*AR30)</f>
        <v/>
      </c>
      <c r="AT30" s="500" t="s">
        <v>69</v>
      </c>
      <c r="AU30" s="94"/>
      <c r="AV30" s="94"/>
      <c r="AW30" s="94"/>
      <c r="AX30" s="94"/>
      <c r="AY30" s="94"/>
      <c r="AZ30" s="94"/>
      <c r="BA30" s="128"/>
      <c r="BB30" s="128"/>
      <c r="BC30" s="94"/>
      <c r="BD30" s="94"/>
      <c r="BE30" s="94"/>
      <c r="BF30" s="94"/>
      <c r="BG30" s="94"/>
      <c r="BH30" s="94"/>
      <c r="BI30" s="94"/>
      <c r="BJ30" s="94"/>
      <c r="BK30" s="94"/>
      <c r="BL30" s="94"/>
      <c r="BM30" s="94"/>
      <c r="BN30" s="94"/>
      <c r="BO30" s="94"/>
      <c r="BP30" s="94"/>
      <c r="BQ30" s="94"/>
      <c r="BR30" s="94"/>
      <c r="BS30" s="94"/>
      <c r="BT30" s="94"/>
      <c r="BU30" s="94"/>
    </row>
    <row r="31" spans="1:73" s="28" customFormat="1" ht="18.75" customHeight="1" x14ac:dyDescent="0.25">
      <c r="A31" s="1842" t="s">
        <v>30</v>
      </c>
      <c r="B31" s="1842"/>
      <c r="C31" s="1842"/>
      <c r="D31" s="1842"/>
      <c r="E31" s="1542"/>
      <c r="F31" s="1543"/>
      <c r="G31" s="1543"/>
      <c r="H31" s="1543"/>
      <c r="I31" s="1543"/>
      <c r="J31" s="1543"/>
      <c r="K31" s="1543"/>
      <c r="L31" s="1543"/>
      <c r="M31" s="1544"/>
      <c r="P31" s="1845"/>
      <c r="Q31" s="1846"/>
      <c r="R31" s="1847"/>
      <c r="S31" s="1848"/>
      <c r="T31" s="1847"/>
      <c r="U31" s="1848"/>
      <c r="V31" s="1849"/>
      <c r="W31" s="1850"/>
      <c r="X31" s="1847"/>
      <c r="Y31" s="1869"/>
      <c r="Z31" s="500" t="s">
        <v>69</v>
      </c>
      <c r="AA31" s="463"/>
      <c r="AB31" s="506"/>
      <c r="AC31" s="502"/>
      <c r="AD31" s="504"/>
      <c r="AE31" s="504"/>
      <c r="AF31" s="741" t="s">
        <v>551</v>
      </c>
      <c r="AG31" s="932" t="str">
        <f t="shared" si="5"/>
        <v/>
      </c>
      <c r="AH31" s="932"/>
      <c r="AI31" s="1008"/>
      <c r="AJ31" s="98" t="str">
        <f t="shared" si="9"/>
        <v/>
      </c>
      <c r="AK31" s="98" t="str">
        <f t="shared" si="10"/>
        <v/>
      </c>
      <c r="AL31" s="98" t="str">
        <f t="shared" si="11"/>
        <v/>
      </c>
      <c r="AM31" s="99"/>
      <c r="AN31" s="98" t="str">
        <f t="shared" si="12"/>
        <v/>
      </c>
      <c r="AO31" s="207">
        <v>5</v>
      </c>
      <c r="AP31" s="208">
        <v>0.4</v>
      </c>
      <c r="AQ31" s="94"/>
      <c r="AR31" s="725">
        <f t="shared" si="6"/>
        <v>1</v>
      </c>
      <c r="AS31" s="742" t="str">
        <f t="shared" si="13"/>
        <v/>
      </c>
      <c r="AT31" s="500" t="s">
        <v>69</v>
      </c>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28" customFormat="1" ht="18.75" customHeight="1" x14ac:dyDescent="0.25">
      <c r="A32" s="1842" t="s">
        <v>30</v>
      </c>
      <c r="B32" s="1842"/>
      <c r="C32" s="1842"/>
      <c r="D32" s="1842"/>
      <c r="E32" s="1542"/>
      <c r="F32" s="1543"/>
      <c r="G32" s="1543"/>
      <c r="H32" s="1543"/>
      <c r="I32" s="1543"/>
      <c r="J32" s="1543"/>
      <c r="K32" s="1543"/>
      <c r="L32" s="1543"/>
      <c r="M32" s="1544"/>
      <c r="P32" s="1845"/>
      <c r="Q32" s="1846"/>
      <c r="R32" s="1847"/>
      <c r="S32" s="1848"/>
      <c r="T32" s="1847"/>
      <c r="U32" s="1848"/>
      <c r="V32" s="1849"/>
      <c r="W32" s="1850"/>
      <c r="X32" s="1847"/>
      <c r="Y32" s="1869"/>
      <c r="Z32" s="500" t="s">
        <v>69</v>
      </c>
      <c r="AA32" s="463"/>
      <c r="AB32" s="506"/>
      <c r="AC32" s="502"/>
      <c r="AD32" s="504"/>
      <c r="AE32" s="504"/>
      <c r="AF32" s="741" t="s">
        <v>551</v>
      </c>
      <c r="AG32" s="932" t="str">
        <f t="shared" si="5"/>
        <v/>
      </c>
      <c r="AH32" s="932"/>
      <c r="AI32" s="1008"/>
      <c r="AJ32" s="98" t="str">
        <f t="shared" si="9"/>
        <v/>
      </c>
      <c r="AK32" s="98" t="str">
        <f t="shared" si="10"/>
        <v/>
      </c>
      <c r="AL32" s="98" t="str">
        <f t="shared" si="11"/>
        <v/>
      </c>
      <c r="AM32" s="99"/>
      <c r="AN32" s="98" t="str">
        <f t="shared" si="12"/>
        <v/>
      </c>
      <c r="AO32" s="207">
        <v>5</v>
      </c>
      <c r="AP32" s="208">
        <v>0</v>
      </c>
      <c r="AQ32" s="94"/>
      <c r="AR32" s="725">
        <f t="shared" si="6"/>
        <v>1</v>
      </c>
      <c r="AS32" s="742" t="str">
        <f t="shared" si="13"/>
        <v/>
      </c>
      <c r="AT32" s="500" t="s">
        <v>69</v>
      </c>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row>
    <row r="33" spans="1:73" s="28" customFormat="1" ht="18.75" customHeight="1" x14ac:dyDescent="0.25">
      <c r="A33" s="1842" t="s">
        <v>30</v>
      </c>
      <c r="B33" s="1842"/>
      <c r="C33" s="1842"/>
      <c r="D33" s="1842"/>
      <c r="E33" s="1542"/>
      <c r="F33" s="1543"/>
      <c r="G33" s="1543"/>
      <c r="H33" s="1543"/>
      <c r="I33" s="1543"/>
      <c r="J33" s="1543"/>
      <c r="K33" s="1543"/>
      <c r="L33" s="1543"/>
      <c r="M33" s="1544"/>
      <c r="P33" s="1845"/>
      <c r="Q33" s="1846"/>
      <c r="R33" s="1847"/>
      <c r="S33" s="1848"/>
      <c r="T33" s="1847"/>
      <c r="U33" s="1848"/>
      <c r="V33" s="1849"/>
      <c r="W33" s="1850"/>
      <c r="X33" s="1847"/>
      <c r="Y33" s="1869"/>
      <c r="Z33" s="500" t="s">
        <v>69</v>
      </c>
      <c r="AA33" s="463"/>
      <c r="AB33" s="506"/>
      <c r="AC33" s="502"/>
      <c r="AD33" s="504"/>
      <c r="AE33" s="504"/>
      <c r="AF33" s="741" t="s">
        <v>551</v>
      </c>
      <c r="AG33" s="932" t="str">
        <f t="shared" si="5"/>
        <v/>
      </c>
      <c r="AH33" s="932"/>
      <c r="AI33" s="1008"/>
      <c r="AJ33" s="98" t="str">
        <f t="shared" si="9"/>
        <v/>
      </c>
      <c r="AK33" s="98" t="str">
        <f t="shared" si="10"/>
        <v/>
      </c>
      <c r="AL33" s="98" t="str">
        <f t="shared" si="11"/>
        <v/>
      </c>
      <c r="AM33" s="99"/>
      <c r="AN33" s="98" t="str">
        <f t="shared" si="12"/>
        <v/>
      </c>
      <c r="AO33" s="207">
        <v>5</v>
      </c>
      <c r="AP33" s="208">
        <v>0</v>
      </c>
      <c r="AQ33" s="94"/>
      <c r="AR33" s="725">
        <f t="shared" si="6"/>
        <v>1</v>
      </c>
      <c r="AS33" s="742" t="str">
        <f t="shared" si="13"/>
        <v/>
      </c>
      <c r="AT33" s="500" t="s">
        <v>69</v>
      </c>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row>
    <row r="34" spans="1:73" s="28" customFormat="1" ht="18.75" customHeight="1" x14ac:dyDescent="0.25">
      <c r="A34" s="1842" t="s">
        <v>19</v>
      </c>
      <c r="B34" s="1842"/>
      <c r="C34" s="1842"/>
      <c r="D34" s="1842"/>
      <c r="E34" s="1542"/>
      <c r="F34" s="1543"/>
      <c r="G34" s="1543"/>
      <c r="H34" s="1543"/>
      <c r="I34" s="1543"/>
      <c r="J34" s="1543"/>
      <c r="K34" s="1543"/>
      <c r="L34" s="1543"/>
      <c r="M34" s="1544"/>
      <c r="P34" s="1845"/>
      <c r="Q34" s="1846"/>
      <c r="R34" s="1847"/>
      <c r="S34" s="1848"/>
      <c r="T34" s="1847"/>
      <c r="U34" s="1848"/>
      <c r="V34" s="1849"/>
      <c r="W34" s="1850"/>
      <c r="X34" s="1847"/>
      <c r="Y34" s="1869"/>
      <c r="Z34" s="500" t="s">
        <v>69</v>
      </c>
      <c r="AA34" s="463"/>
      <c r="AB34" s="506"/>
      <c r="AC34" s="502"/>
      <c r="AD34" s="476">
        <v>5</v>
      </c>
      <c r="AE34" s="504"/>
      <c r="AF34" s="741" t="s">
        <v>551</v>
      </c>
      <c r="AG34" s="932" t="str">
        <f t="shared" si="5"/>
        <v/>
      </c>
      <c r="AH34" s="932"/>
      <c r="AI34" s="1008"/>
      <c r="AJ34" s="98" t="str">
        <f t="shared" si="9"/>
        <v/>
      </c>
      <c r="AK34" s="98" t="str">
        <f t="shared" si="10"/>
        <v/>
      </c>
      <c r="AL34" s="98" t="str">
        <f t="shared" si="11"/>
        <v/>
      </c>
      <c r="AM34" s="99"/>
      <c r="AN34" s="98" t="str">
        <f t="shared" si="12"/>
        <v/>
      </c>
      <c r="AO34" s="207">
        <v>5</v>
      </c>
      <c r="AP34" s="208">
        <v>0</v>
      </c>
      <c r="AQ34" s="94"/>
      <c r="AR34" s="725">
        <f t="shared" si="6"/>
        <v>1</v>
      </c>
      <c r="AS34" s="742" t="str">
        <f t="shared" si="13"/>
        <v/>
      </c>
      <c r="AT34" s="500" t="s">
        <v>69</v>
      </c>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row>
    <row r="35" spans="1:73" s="28" customFormat="1" ht="18.75" customHeight="1" x14ac:dyDescent="0.25">
      <c r="A35" s="1842" t="s">
        <v>19</v>
      </c>
      <c r="B35" s="1842"/>
      <c r="C35" s="1842"/>
      <c r="D35" s="1842"/>
      <c r="E35" s="1542"/>
      <c r="F35" s="1543"/>
      <c r="G35" s="1543"/>
      <c r="H35" s="1543"/>
      <c r="I35" s="1543"/>
      <c r="J35" s="1543"/>
      <c r="K35" s="1543"/>
      <c r="L35" s="1543"/>
      <c r="M35" s="1544"/>
      <c r="P35" s="1845"/>
      <c r="Q35" s="1846"/>
      <c r="R35" s="1847"/>
      <c r="S35" s="1848"/>
      <c r="T35" s="1847"/>
      <c r="U35" s="1848"/>
      <c r="V35" s="1849"/>
      <c r="W35" s="1850"/>
      <c r="X35" s="1847" t="str">
        <f>IF(R35="","",+AK35)</f>
        <v/>
      </c>
      <c r="Y35" s="1869"/>
      <c r="Z35" s="500" t="s">
        <v>69</v>
      </c>
      <c r="AA35" s="463"/>
      <c r="AB35" s="506"/>
      <c r="AC35" s="502"/>
      <c r="AD35" s="476">
        <v>5</v>
      </c>
      <c r="AE35" s="504"/>
      <c r="AF35" s="741" t="s">
        <v>551</v>
      </c>
      <c r="AG35" s="932" t="str">
        <f t="shared" si="5"/>
        <v/>
      </c>
      <c r="AH35" s="932"/>
      <c r="AI35" s="1008"/>
      <c r="AJ35" s="98" t="str">
        <f t="shared" si="9"/>
        <v/>
      </c>
      <c r="AK35" s="98" t="str">
        <f t="shared" si="10"/>
        <v/>
      </c>
      <c r="AL35" s="98" t="str">
        <f t="shared" si="11"/>
        <v/>
      </c>
      <c r="AM35" s="99"/>
      <c r="AN35" s="98" t="str">
        <f t="shared" si="12"/>
        <v/>
      </c>
      <c r="AO35" s="207">
        <v>5</v>
      </c>
      <c r="AP35" s="208">
        <v>0</v>
      </c>
      <c r="AQ35" s="94"/>
      <c r="AR35" s="725">
        <f t="shared" si="6"/>
        <v>1</v>
      </c>
      <c r="AS35" s="742" t="str">
        <f t="shared" si="13"/>
        <v/>
      </c>
      <c r="AT35" s="500" t="s">
        <v>69</v>
      </c>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row>
    <row r="36" spans="1:73" s="28" customFormat="1" ht="18.75" customHeight="1" x14ac:dyDescent="0.25">
      <c r="A36" s="1852" t="s">
        <v>232</v>
      </c>
      <c r="B36" s="1852"/>
      <c r="C36" s="1852"/>
      <c r="D36" s="1852"/>
      <c r="E36" s="1857" t="str">
        <f>IF(N36=0,"",+N36-T36)</f>
        <v/>
      </c>
      <c r="F36" s="1857"/>
      <c r="G36" s="1857"/>
      <c r="H36" s="1857"/>
      <c r="I36" s="1858"/>
      <c r="J36" s="1843" t="s">
        <v>634</v>
      </c>
      <c r="K36" s="1844"/>
      <c r="L36" s="1844"/>
      <c r="M36" s="1844"/>
      <c r="N36" s="1851">
        <f>SUM(N19:O27)+SUM(N14:O16)+SUM(N7:O12)</f>
        <v>0</v>
      </c>
      <c r="O36" s="1851"/>
      <c r="P36" s="1851"/>
      <c r="Q36" s="1851"/>
      <c r="R36" s="1851">
        <f>SUM(R14:S16)+SUM(R7:S12)+SUM(R30:S35)</f>
        <v>0</v>
      </c>
      <c r="S36" s="1851"/>
      <c r="T36" s="1851">
        <f>SUM(T14:U16)+SUM(T7:U12)+SUM(T30:U35)</f>
        <v>0</v>
      </c>
      <c r="U36" s="1851"/>
      <c r="V36" s="1851"/>
      <c r="W36" s="1851"/>
      <c r="X36" s="1851">
        <f>+SUM(X7:Y12)+SUM(X14:Y16)+SUM(X30:Y35)</f>
        <v>0</v>
      </c>
      <c r="Y36" s="1851"/>
      <c r="Z36" s="501" t="s">
        <v>69</v>
      </c>
      <c r="AA36" s="463"/>
      <c r="AB36" s="934"/>
      <c r="AC36" s="931"/>
      <c r="AD36" s="932"/>
      <c r="AE36" s="932"/>
      <c r="AF36" s="932"/>
      <c r="AG36" s="935"/>
      <c r="AH36" s="935"/>
      <c r="AI36" s="229"/>
      <c r="AJ36" s="94"/>
      <c r="AK36" s="94"/>
      <c r="AL36" s="94"/>
      <c r="AM36" s="94"/>
      <c r="AN36" s="94"/>
      <c r="AO36" s="94"/>
      <c r="AP36" s="94"/>
      <c r="AQ36" s="94"/>
      <c r="AR36" s="94"/>
      <c r="AS36" s="94"/>
      <c r="AT36" s="94"/>
      <c r="AU36" s="94"/>
      <c r="AV36" s="94"/>
      <c r="AW36" s="94"/>
      <c r="AX36" s="128"/>
      <c r="AY36" s="94"/>
      <c r="AZ36" s="94"/>
      <c r="BA36" s="94"/>
      <c r="BB36" s="94"/>
      <c r="BC36" s="94"/>
      <c r="BD36" s="94"/>
      <c r="BE36" s="94"/>
      <c r="BF36" s="94"/>
      <c r="BG36" s="94"/>
      <c r="BH36" s="94"/>
      <c r="BI36" s="94"/>
      <c r="BJ36" s="94"/>
      <c r="BK36" s="94"/>
      <c r="BL36" s="94"/>
      <c r="BM36" s="94"/>
      <c r="BN36" s="94"/>
      <c r="BO36" s="94"/>
      <c r="BP36" s="94"/>
      <c r="BQ36" s="94"/>
      <c r="BR36" s="94"/>
      <c r="BS36" s="94"/>
      <c r="BT36" s="94"/>
      <c r="BU36" s="94"/>
    </row>
    <row r="37" spans="1:73" ht="18.75" customHeight="1" x14ac:dyDescent="0.25">
      <c r="A37" s="41"/>
      <c r="E37" s="1870" t="s">
        <v>160</v>
      </c>
      <c r="F37" s="1870"/>
      <c r="G37" s="1870"/>
      <c r="H37" s="1870"/>
      <c r="I37" s="1870"/>
      <c r="J37" s="1870"/>
      <c r="K37" s="1870"/>
      <c r="L37" s="652"/>
      <c r="M37" s="652"/>
      <c r="N37" s="1871" t="s">
        <v>633</v>
      </c>
      <c r="O37" s="1871"/>
      <c r="P37" s="651"/>
      <c r="Q37" s="651"/>
      <c r="R37" s="1871" t="s">
        <v>161</v>
      </c>
      <c r="S37" s="1871"/>
      <c r="T37" s="1871" t="s">
        <v>162</v>
      </c>
      <c r="U37" s="1871"/>
      <c r="V37" s="1871" t="s">
        <v>163</v>
      </c>
      <c r="W37" s="1871"/>
      <c r="X37" s="1871"/>
      <c r="Y37" s="1871"/>
      <c r="Z37" s="1871"/>
      <c r="AA37" s="463"/>
      <c r="AB37" s="463"/>
      <c r="AC37" s="499"/>
      <c r="AY37" s="94"/>
      <c r="AZ37" s="94"/>
      <c r="BA37" s="94"/>
      <c r="BB37" s="94"/>
      <c r="BC37" s="94"/>
      <c r="BD37" s="94"/>
      <c r="BE37" s="94"/>
      <c r="BF37" s="94"/>
      <c r="BG37" s="94"/>
      <c r="BH37" s="94"/>
      <c r="BI37" s="94"/>
      <c r="BJ37" s="94"/>
      <c r="BK37" s="94"/>
      <c r="BL37" s="94"/>
      <c r="BM37" s="94"/>
      <c r="BN37" s="94"/>
      <c r="BO37" s="94"/>
      <c r="BP37" s="94"/>
      <c r="BQ37" s="94"/>
      <c r="BR37" s="94"/>
      <c r="BS37" s="94"/>
      <c r="BT37" s="94"/>
      <c r="BU37" s="94"/>
    </row>
    <row r="38" spans="1:73" ht="18.75" customHeight="1" x14ac:dyDescent="0.25">
      <c r="A38" s="47"/>
      <c r="B38" s="47"/>
      <c r="C38" s="47"/>
      <c r="D38" s="47"/>
      <c r="E38" s="47"/>
      <c r="F38" s="47"/>
      <c r="G38" s="47"/>
      <c r="H38" s="47"/>
      <c r="I38" s="47"/>
      <c r="J38" s="47"/>
      <c r="K38" s="47"/>
      <c r="L38" s="47"/>
      <c r="M38" s="47"/>
      <c r="N38" s="47"/>
      <c r="O38" s="47"/>
      <c r="P38" s="47"/>
      <c r="Q38" s="47"/>
      <c r="R38" s="48"/>
      <c r="S38" s="47"/>
      <c r="AC38" s="499"/>
      <c r="AY38" s="94"/>
      <c r="AZ38" s="94"/>
      <c r="BA38" s="94"/>
      <c r="BB38" s="94"/>
      <c r="BC38" s="94"/>
      <c r="BD38" s="94"/>
      <c r="BE38" s="94"/>
      <c r="BF38" s="94"/>
      <c r="BG38" s="94"/>
      <c r="BH38" s="94"/>
      <c r="BI38" s="94"/>
      <c r="BJ38" s="94"/>
      <c r="BK38" s="94"/>
      <c r="BL38" s="94"/>
      <c r="BM38" s="94"/>
      <c r="BN38" s="94"/>
      <c r="BO38" s="94"/>
      <c r="BP38" s="94"/>
      <c r="BQ38" s="94"/>
      <c r="BR38" s="94"/>
      <c r="BS38" s="94"/>
      <c r="BT38" s="94"/>
      <c r="BU38" s="94"/>
    </row>
    <row r="39" spans="1:73" ht="18.75" customHeight="1" x14ac:dyDescent="0.25">
      <c r="A39" s="47"/>
      <c r="B39" s="47"/>
      <c r="C39" s="47"/>
      <c r="D39" s="47"/>
      <c r="E39" s="47"/>
      <c r="F39" s="47"/>
      <c r="G39" s="47"/>
      <c r="H39" s="47"/>
      <c r="I39" s="28"/>
      <c r="J39" s="28"/>
      <c r="K39" s="28"/>
      <c r="L39" s="28"/>
      <c r="M39" s="47"/>
      <c r="N39" s="47"/>
      <c r="O39" s="47"/>
      <c r="P39" s="47"/>
      <c r="Q39" s="47"/>
      <c r="R39" s="48"/>
      <c r="S39" s="47"/>
      <c r="AC39" s="499"/>
      <c r="AY39" s="94"/>
      <c r="AZ39" s="94"/>
      <c r="BA39" s="94"/>
      <c r="BB39" s="94"/>
      <c r="BC39" s="94"/>
      <c r="BD39" s="94"/>
      <c r="BE39" s="94"/>
      <c r="BF39" s="94"/>
      <c r="BG39" s="94"/>
      <c r="BH39" s="94"/>
      <c r="BI39" s="94"/>
      <c r="BJ39" s="94"/>
      <c r="BK39" s="94"/>
      <c r="BL39" s="94"/>
      <c r="BM39" s="94"/>
      <c r="BN39" s="94"/>
      <c r="BO39" s="94"/>
      <c r="BP39" s="94"/>
      <c r="BQ39" s="94"/>
      <c r="BR39" s="94"/>
      <c r="BS39" s="94"/>
      <c r="BT39" s="94"/>
      <c r="BU39" s="94"/>
    </row>
    <row r="40" spans="1:73" ht="18.75" customHeight="1" x14ac:dyDescent="0.25">
      <c r="AC40" s="499"/>
      <c r="BJ40" s="94"/>
      <c r="BK40" s="94"/>
      <c r="BL40" s="94"/>
      <c r="BM40" s="94"/>
      <c r="BN40" s="94"/>
      <c r="BO40" s="94"/>
      <c r="BP40" s="94"/>
      <c r="BQ40" s="94"/>
      <c r="BR40" s="94"/>
      <c r="BS40" s="94"/>
      <c r="BT40" s="94"/>
      <c r="BU40" s="94"/>
    </row>
    <row r="41" spans="1:73" ht="18.75" customHeight="1" x14ac:dyDescent="0.25">
      <c r="AC41" s="499"/>
      <c r="BJ41" s="94"/>
      <c r="BK41" s="94"/>
      <c r="BL41" s="94"/>
      <c r="BM41" s="94"/>
      <c r="BN41" s="94"/>
      <c r="BO41" s="94"/>
      <c r="BP41" s="94"/>
      <c r="BQ41" s="94"/>
      <c r="BR41" s="94"/>
      <c r="BS41" s="94"/>
      <c r="BT41" s="94"/>
      <c r="BU41" s="94"/>
    </row>
    <row r="42" spans="1:73" ht="18.75" customHeight="1" x14ac:dyDescent="0.25">
      <c r="AC42" s="499"/>
      <c r="BJ42" s="94"/>
      <c r="BK42" s="94"/>
      <c r="BL42" s="94"/>
      <c r="BM42" s="94"/>
      <c r="BN42" s="94"/>
      <c r="BO42" s="94"/>
      <c r="BP42" s="94"/>
      <c r="BQ42" s="94"/>
      <c r="BR42" s="94"/>
      <c r="BS42" s="94"/>
      <c r="BT42" s="94"/>
      <c r="BU42" s="94"/>
    </row>
    <row r="43" spans="1:73" ht="18.75" customHeight="1" x14ac:dyDescent="0.25">
      <c r="AC43" s="499"/>
      <c r="BJ43" s="94"/>
      <c r="BK43" s="94"/>
      <c r="BL43" s="94"/>
      <c r="BM43" s="94"/>
      <c r="BN43" s="94"/>
      <c r="BO43" s="94"/>
      <c r="BP43" s="94"/>
      <c r="BQ43" s="94"/>
      <c r="BR43" s="94"/>
      <c r="BS43" s="94"/>
      <c r="BT43" s="94"/>
      <c r="BU43" s="94"/>
    </row>
    <row r="44" spans="1:73" ht="18.75" customHeight="1" x14ac:dyDescent="0.25">
      <c r="AC44" s="499"/>
      <c r="BJ44" s="94"/>
      <c r="BK44" s="94"/>
      <c r="BL44" s="94"/>
      <c r="BM44" s="94"/>
      <c r="BN44" s="94"/>
      <c r="BO44" s="94"/>
      <c r="BP44" s="94"/>
      <c r="BQ44" s="94"/>
      <c r="BR44" s="94"/>
      <c r="BS44" s="94"/>
      <c r="BT44" s="94"/>
      <c r="BU44" s="94"/>
    </row>
    <row r="45" spans="1:73" ht="18.75" customHeight="1" x14ac:dyDescent="0.25">
      <c r="AC45" s="499"/>
      <c r="BJ45" s="94"/>
      <c r="BK45" s="94"/>
      <c r="BL45" s="94"/>
      <c r="BM45" s="94"/>
      <c r="BN45" s="94"/>
      <c r="BO45" s="94"/>
      <c r="BP45" s="94"/>
      <c r="BQ45" s="94"/>
      <c r="BR45" s="94"/>
      <c r="BS45" s="94"/>
      <c r="BT45" s="94"/>
      <c r="BU45" s="94"/>
    </row>
    <row r="46" spans="1:73" ht="18.75" customHeight="1" x14ac:dyDescent="0.25">
      <c r="AC46" s="499"/>
      <c r="BJ46" s="94"/>
      <c r="BK46" s="94"/>
      <c r="BL46" s="94"/>
      <c r="BM46" s="94"/>
      <c r="BN46" s="94"/>
      <c r="BO46" s="94"/>
      <c r="BP46" s="94"/>
      <c r="BQ46" s="94"/>
      <c r="BR46" s="94"/>
      <c r="BS46" s="94"/>
      <c r="BT46" s="94"/>
      <c r="BU46" s="94"/>
    </row>
    <row r="47" spans="1:73" ht="18.75" customHeight="1" x14ac:dyDescent="0.25">
      <c r="AC47" s="499"/>
      <c r="BJ47" s="94"/>
      <c r="BK47" s="94"/>
      <c r="BL47" s="94"/>
      <c r="BM47" s="94"/>
      <c r="BN47" s="94"/>
      <c r="BO47" s="94"/>
      <c r="BP47" s="94"/>
      <c r="BQ47" s="94"/>
      <c r="BR47" s="94"/>
      <c r="BS47" s="94"/>
      <c r="BT47" s="94"/>
      <c r="BU47" s="94"/>
    </row>
    <row r="48" spans="1:73" ht="18.75" customHeight="1" x14ac:dyDescent="0.25">
      <c r="AC48" s="499"/>
      <c r="BJ48" s="94"/>
      <c r="BK48" s="94"/>
      <c r="BL48" s="94"/>
      <c r="BM48" s="94"/>
      <c r="BN48" s="94"/>
      <c r="BO48" s="94"/>
      <c r="BP48" s="94"/>
      <c r="BQ48" s="94"/>
      <c r="BR48" s="94"/>
      <c r="BS48" s="94"/>
      <c r="BT48" s="94"/>
      <c r="BU48" s="94"/>
    </row>
    <row r="49" spans="29:73" ht="18.75" customHeight="1" x14ac:dyDescent="0.25">
      <c r="AC49" s="499"/>
      <c r="BJ49" s="94"/>
      <c r="BK49" s="94"/>
      <c r="BL49" s="94"/>
      <c r="BM49" s="94"/>
      <c r="BN49" s="94"/>
      <c r="BO49" s="94"/>
      <c r="BP49" s="94"/>
      <c r="BQ49" s="94"/>
      <c r="BR49" s="94"/>
      <c r="BS49" s="94"/>
      <c r="BT49" s="94"/>
      <c r="BU49" s="94"/>
    </row>
    <row r="50" spans="29:73" ht="18.75" customHeight="1" x14ac:dyDescent="0.25">
      <c r="AC50" s="499"/>
      <c r="BJ50" s="94"/>
      <c r="BK50" s="94"/>
      <c r="BL50" s="94"/>
      <c r="BM50" s="94"/>
      <c r="BN50" s="94"/>
      <c r="BO50" s="94"/>
      <c r="BP50" s="94"/>
      <c r="BQ50" s="94"/>
      <c r="BR50" s="94"/>
      <c r="BS50" s="94"/>
      <c r="BT50" s="94"/>
      <c r="BU50" s="94"/>
    </row>
    <row r="51" spans="29:73" ht="18.75" customHeight="1" x14ac:dyDescent="0.25">
      <c r="AC51" s="499"/>
      <c r="BJ51" s="94"/>
      <c r="BK51" s="94"/>
      <c r="BL51" s="94"/>
      <c r="BM51" s="94"/>
      <c r="BN51" s="94"/>
      <c r="BO51" s="94"/>
      <c r="BP51" s="94"/>
      <c r="BQ51" s="94"/>
      <c r="BR51" s="94"/>
      <c r="BS51" s="94"/>
      <c r="BT51" s="94"/>
      <c r="BU51" s="94"/>
    </row>
    <row r="52" spans="29:73" ht="18.75" customHeight="1" x14ac:dyDescent="0.25">
      <c r="AC52" s="499"/>
      <c r="BJ52" s="94"/>
      <c r="BK52" s="94"/>
      <c r="BL52" s="94"/>
      <c r="BM52" s="94"/>
      <c r="BN52" s="94"/>
      <c r="BO52" s="94"/>
      <c r="BP52" s="94"/>
      <c r="BQ52" s="94"/>
      <c r="BR52" s="94"/>
      <c r="BS52" s="94"/>
      <c r="BT52" s="94"/>
      <c r="BU52" s="94"/>
    </row>
    <row r="53" spans="29:73" ht="18.75" customHeight="1" x14ac:dyDescent="0.25">
      <c r="AC53" s="499"/>
      <c r="BJ53" s="94"/>
      <c r="BK53" s="94"/>
      <c r="BL53" s="94"/>
      <c r="BM53" s="94"/>
      <c r="BN53" s="94"/>
      <c r="BO53" s="94"/>
      <c r="BP53" s="94"/>
      <c r="BQ53" s="94"/>
      <c r="BR53" s="94"/>
      <c r="BS53" s="94"/>
      <c r="BT53" s="94"/>
      <c r="BU53" s="94"/>
    </row>
    <row r="54" spans="29:73" ht="18.75" customHeight="1" x14ac:dyDescent="0.25">
      <c r="AC54" s="499"/>
      <c r="BJ54" s="94"/>
      <c r="BK54" s="94"/>
      <c r="BL54" s="94"/>
      <c r="BM54" s="94"/>
      <c r="BN54" s="94"/>
      <c r="BO54" s="94"/>
      <c r="BP54" s="94"/>
      <c r="BQ54" s="94"/>
      <c r="BR54" s="94"/>
      <c r="BS54" s="94"/>
      <c r="BT54" s="94"/>
      <c r="BU54" s="94"/>
    </row>
    <row r="55" spans="29:73" ht="18.75" customHeight="1" x14ac:dyDescent="0.25">
      <c r="AC55" s="499"/>
      <c r="BJ55" s="94"/>
      <c r="BK55" s="94"/>
      <c r="BL55" s="94"/>
      <c r="BM55" s="94"/>
      <c r="BN55" s="94"/>
      <c r="BO55" s="94"/>
      <c r="BP55" s="94"/>
      <c r="BQ55" s="94"/>
      <c r="BR55" s="94"/>
      <c r="BS55" s="94"/>
      <c r="BT55" s="94"/>
      <c r="BU55" s="94"/>
    </row>
    <row r="56" spans="29:73" ht="18.75" customHeight="1" x14ac:dyDescent="0.25">
      <c r="AC56" s="499"/>
      <c r="BJ56" s="94"/>
      <c r="BK56" s="94"/>
      <c r="BL56" s="94"/>
      <c r="BM56" s="94"/>
      <c r="BN56" s="94"/>
      <c r="BO56" s="94"/>
      <c r="BP56" s="94"/>
      <c r="BQ56" s="94"/>
      <c r="BR56" s="94"/>
      <c r="BS56" s="94"/>
      <c r="BT56" s="94"/>
      <c r="BU56" s="94"/>
    </row>
    <row r="57" spans="29:73" ht="18.75" customHeight="1" x14ac:dyDescent="0.25">
      <c r="AC57" s="499"/>
      <c r="BJ57" s="94"/>
      <c r="BK57" s="94"/>
      <c r="BL57" s="94"/>
      <c r="BM57" s="94"/>
      <c r="BN57" s="94"/>
      <c r="BO57" s="94"/>
      <c r="BP57" s="94"/>
      <c r="BQ57" s="94"/>
      <c r="BR57" s="94"/>
      <c r="BS57" s="94"/>
      <c r="BT57" s="94"/>
      <c r="BU57" s="94"/>
    </row>
    <row r="58" spans="29:73" ht="18.75" customHeight="1" x14ac:dyDescent="0.25">
      <c r="AC58" s="499"/>
      <c r="BJ58" s="94"/>
      <c r="BK58" s="94"/>
      <c r="BL58" s="94"/>
      <c r="BM58" s="94"/>
      <c r="BN58" s="94"/>
      <c r="BO58" s="94"/>
      <c r="BP58" s="94"/>
      <c r="BQ58" s="94"/>
      <c r="BR58" s="94"/>
      <c r="BS58" s="94"/>
      <c r="BT58" s="94"/>
      <c r="BU58" s="94"/>
    </row>
    <row r="59" spans="29:73" ht="18.75" customHeight="1" x14ac:dyDescent="0.25">
      <c r="AC59" s="499"/>
      <c r="BJ59" s="94"/>
      <c r="BK59" s="94"/>
      <c r="BL59" s="94"/>
      <c r="BM59" s="94"/>
      <c r="BN59" s="94"/>
      <c r="BO59" s="94"/>
      <c r="BP59" s="94"/>
      <c r="BQ59" s="94"/>
      <c r="BR59" s="94"/>
      <c r="BS59" s="94"/>
      <c r="BT59" s="94"/>
      <c r="BU59" s="94"/>
    </row>
    <row r="60" spans="29:73" ht="18.75" customHeight="1" x14ac:dyDescent="0.25">
      <c r="AC60" s="499"/>
      <c r="BJ60" s="94"/>
      <c r="BK60" s="94"/>
      <c r="BL60" s="94"/>
      <c r="BM60" s="94"/>
      <c r="BN60" s="94"/>
      <c r="BO60" s="94"/>
      <c r="BP60" s="94"/>
      <c r="BQ60" s="94"/>
      <c r="BR60" s="94"/>
      <c r="BS60" s="94"/>
      <c r="BT60" s="94"/>
      <c r="BU60" s="94"/>
    </row>
    <row r="61" spans="29:73" ht="18.75" customHeight="1" x14ac:dyDescent="0.25">
      <c r="AC61" s="499"/>
      <c r="BJ61" s="94"/>
      <c r="BK61" s="94"/>
      <c r="BL61" s="94"/>
      <c r="BM61" s="94"/>
      <c r="BN61" s="94"/>
      <c r="BO61" s="94"/>
      <c r="BP61" s="94"/>
      <c r="BQ61" s="94"/>
      <c r="BR61" s="94"/>
      <c r="BS61" s="94"/>
      <c r="BT61" s="94"/>
      <c r="BU61" s="94"/>
    </row>
    <row r="62" spans="29:73" ht="18.75" customHeight="1" x14ac:dyDescent="0.25">
      <c r="AC62" s="499"/>
      <c r="BJ62" s="94"/>
      <c r="BK62" s="94"/>
      <c r="BL62" s="94"/>
      <c r="BM62" s="94"/>
      <c r="BN62" s="94"/>
      <c r="BO62" s="94"/>
      <c r="BP62" s="94"/>
      <c r="BQ62" s="94"/>
      <c r="BR62" s="94"/>
      <c r="BS62" s="94"/>
      <c r="BT62" s="94"/>
      <c r="BU62" s="94"/>
    </row>
    <row r="63" spans="29:73" ht="18.75" customHeight="1" x14ac:dyDescent="0.25">
      <c r="AC63" s="499"/>
      <c r="BJ63" s="94"/>
      <c r="BK63" s="94"/>
      <c r="BL63" s="94"/>
      <c r="BM63" s="94"/>
      <c r="BN63" s="94"/>
      <c r="BO63" s="94"/>
      <c r="BP63" s="94"/>
      <c r="BQ63" s="94"/>
      <c r="BR63" s="94"/>
      <c r="BS63" s="94"/>
      <c r="BT63" s="94"/>
      <c r="BU63" s="94"/>
    </row>
    <row r="64" spans="29:73" ht="18.75" customHeight="1" x14ac:dyDescent="0.25">
      <c r="AC64" s="499"/>
      <c r="BJ64" s="94"/>
      <c r="BK64" s="94"/>
      <c r="BL64" s="94"/>
      <c r="BM64" s="94"/>
      <c r="BN64" s="94"/>
      <c r="BO64" s="94"/>
      <c r="BP64" s="94"/>
      <c r="BQ64" s="94"/>
      <c r="BR64" s="94"/>
      <c r="BS64" s="94"/>
      <c r="BT64" s="94"/>
      <c r="BU64" s="94"/>
    </row>
    <row r="65" spans="29:73" ht="18.75" customHeight="1" x14ac:dyDescent="0.25">
      <c r="AC65" s="499"/>
      <c r="BJ65" s="94"/>
      <c r="BK65" s="94"/>
      <c r="BL65" s="94"/>
      <c r="BM65" s="94"/>
      <c r="BN65" s="94"/>
      <c r="BO65" s="94"/>
      <c r="BP65" s="94"/>
      <c r="BQ65" s="94"/>
      <c r="BR65" s="94"/>
      <c r="BS65" s="94"/>
      <c r="BT65" s="94"/>
      <c r="BU65" s="94"/>
    </row>
    <row r="66" spans="29:73" ht="18.75" customHeight="1" x14ac:dyDescent="0.25">
      <c r="AC66" s="499"/>
      <c r="BJ66" s="94"/>
      <c r="BK66" s="94"/>
      <c r="BL66" s="94"/>
      <c r="BM66" s="94"/>
      <c r="BN66" s="94"/>
      <c r="BO66" s="94"/>
      <c r="BP66" s="94"/>
      <c r="BQ66" s="94"/>
      <c r="BR66" s="94"/>
      <c r="BS66" s="94"/>
      <c r="BT66" s="94"/>
      <c r="BU66" s="94"/>
    </row>
    <row r="67" spans="29:73" ht="18.75" customHeight="1" x14ac:dyDescent="0.25">
      <c r="AC67" s="499"/>
      <c r="BJ67" s="94"/>
      <c r="BK67" s="94"/>
      <c r="BL67" s="94"/>
      <c r="BM67" s="94"/>
      <c r="BN67" s="94"/>
      <c r="BO67" s="94"/>
      <c r="BP67" s="94"/>
      <c r="BQ67" s="94"/>
      <c r="BR67" s="94"/>
      <c r="BS67" s="94"/>
      <c r="BT67" s="94"/>
      <c r="BU67" s="94"/>
    </row>
    <row r="68" spans="29:73" ht="18.75" customHeight="1" x14ac:dyDescent="0.25">
      <c r="AC68" s="499"/>
      <c r="BJ68" s="94"/>
      <c r="BK68" s="94"/>
      <c r="BL68" s="94"/>
      <c r="BM68" s="94"/>
      <c r="BN68" s="94"/>
      <c r="BO68" s="94"/>
      <c r="BP68" s="94"/>
      <c r="BQ68" s="94"/>
      <c r="BR68" s="94"/>
      <c r="BS68" s="94"/>
      <c r="BT68" s="94"/>
      <c r="BU68" s="94"/>
    </row>
    <row r="69" spans="29:73" ht="18.75" customHeight="1" x14ac:dyDescent="0.25">
      <c r="AC69" s="499"/>
      <c r="BJ69" s="94"/>
      <c r="BK69" s="94"/>
      <c r="BL69" s="94"/>
      <c r="BM69" s="94"/>
      <c r="BN69" s="94"/>
      <c r="BO69" s="94"/>
      <c r="BP69" s="94"/>
      <c r="BQ69" s="94"/>
      <c r="BR69" s="94"/>
      <c r="BS69" s="94"/>
      <c r="BT69" s="94"/>
      <c r="BU69" s="94"/>
    </row>
    <row r="70" spans="29:73" ht="18.75" customHeight="1" x14ac:dyDescent="0.25">
      <c r="AC70" s="499"/>
      <c r="BJ70" s="94"/>
      <c r="BK70" s="94"/>
      <c r="BL70" s="94"/>
      <c r="BM70" s="94"/>
      <c r="BN70" s="94"/>
      <c r="BO70" s="94"/>
      <c r="BP70" s="94"/>
      <c r="BQ70" s="94"/>
      <c r="BR70" s="94"/>
      <c r="BS70" s="94"/>
      <c r="BT70" s="94"/>
      <c r="BU70" s="94"/>
    </row>
    <row r="71" spans="29:73" ht="18.75" customHeight="1" x14ac:dyDescent="0.25">
      <c r="AC71" s="499"/>
      <c r="BJ71" s="94"/>
      <c r="BK71" s="94"/>
      <c r="BL71" s="94"/>
      <c r="BM71" s="94"/>
      <c r="BN71" s="94"/>
      <c r="BO71" s="94"/>
      <c r="BP71" s="94"/>
      <c r="BQ71" s="94"/>
      <c r="BR71" s="94"/>
      <c r="BS71" s="94"/>
      <c r="BT71" s="94"/>
      <c r="BU71" s="94"/>
    </row>
    <row r="72" spans="29:73" ht="18.75" customHeight="1" x14ac:dyDescent="0.25">
      <c r="AC72" s="499"/>
      <c r="BJ72" s="94"/>
      <c r="BK72" s="94"/>
      <c r="BL72" s="94"/>
      <c r="BM72" s="94"/>
      <c r="BN72" s="94"/>
      <c r="BO72" s="94"/>
      <c r="BP72" s="94"/>
      <c r="BQ72" s="94"/>
      <c r="BR72" s="94"/>
      <c r="BS72" s="94"/>
      <c r="BT72" s="94"/>
      <c r="BU72" s="94"/>
    </row>
    <row r="73" spans="29:73" ht="18.75" customHeight="1" x14ac:dyDescent="0.25">
      <c r="AC73" s="499"/>
      <c r="BJ73" s="94"/>
      <c r="BK73" s="94"/>
      <c r="BL73" s="94"/>
      <c r="BM73" s="94"/>
      <c r="BN73" s="94"/>
      <c r="BO73" s="94"/>
      <c r="BP73" s="94"/>
      <c r="BQ73" s="94"/>
      <c r="BR73" s="94"/>
      <c r="BS73" s="94"/>
      <c r="BT73" s="94"/>
      <c r="BU73" s="94"/>
    </row>
    <row r="74" spans="29:73" ht="18.75" customHeight="1" x14ac:dyDescent="0.25">
      <c r="AC74" s="499"/>
      <c r="BJ74" s="94"/>
      <c r="BK74" s="94"/>
      <c r="BL74" s="94"/>
      <c r="BM74" s="94"/>
      <c r="BN74" s="94"/>
      <c r="BO74" s="94"/>
      <c r="BP74" s="94"/>
      <c r="BQ74" s="94"/>
      <c r="BR74" s="94"/>
      <c r="BS74" s="94"/>
      <c r="BT74" s="94"/>
      <c r="BU74" s="94"/>
    </row>
    <row r="75" spans="29:73" ht="18.75" customHeight="1" x14ac:dyDescent="0.25">
      <c r="AC75" s="499"/>
      <c r="BJ75" s="94"/>
      <c r="BK75" s="94"/>
      <c r="BL75" s="94"/>
      <c r="BM75" s="94"/>
      <c r="BN75" s="94"/>
      <c r="BO75" s="94"/>
      <c r="BP75" s="94"/>
      <c r="BQ75" s="94"/>
      <c r="BR75" s="94"/>
      <c r="BS75" s="94"/>
      <c r="BT75" s="94"/>
      <c r="BU75" s="94"/>
    </row>
    <row r="76" spans="29:73" ht="18.75" customHeight="1" x14ac:dyDescent="0.25">
      <c r="AC76" s="499"/>
      <c r="BJ76" s="94"/>
      <c r="BK76" s="94"/>
      <c r="BL76" s="94"/>
      <c r="BM76" s="94"/>
      <c r="BN76" s="94"/>
      <c r="BO76" s="94"/>
      <c r="BP76" s="94"/>
      <c r="BQ76" s="94"/>
      <c r="BR76" s="94"/>
      <c r="BS76" s="94"/>
      <c r="BT76" s="94"/>
      <c r="BU76" s="94"/>
    </row>
    <row r="77" spans="29:73" ht="18.75" customHeight="1" x14ac:dyDescent="0.25">
      <c r="AC77" s="499"/>
      <c r="BJ77" s="94"/>
      <c r="BK77" s="94"/>
      <c r="BL77" s="94"/>
      <c r="BM77" s="94"/>
      <c r="BN77" s="94"/>
      <c r="BO77" s="94"/>
      <c r="BP77" s="94"/>
      <c r="BQ77" s="94"/>
      <c r="BR77" s="94"/>
      <c r="BS77" s="94"/>
      <c r="BT77" s="94"/>
      <c r="BU77" s="94"/>
    </row>
    <row r="78" spans="29:73" ht="18.75" customHeight="1" x14ac:dyDescent="0.25">
      <c r="AC78" s="499"/>
      <c r="BJ78" s="94"/>
      <c r="BK78" s="94"/>
      <c r="BL78" s="94"/>
      <c r="BM78" s="94"/>
      <c r="BN78" s="94"/>
      <c r="BO78" s="94"/>
      <c r="BP78" s="94"/>
      <c r="BQ78" s="94"/>
      <c r="BR78" s="94"/>
      <c r="BS78" s="94"/>
      <c r="BT78" s="94"/>
      <c r="BU78" s="94"/>
    </row>
    <row r="79" spans="29:73" ht="18.75" customHeight="1" x14ac:dyDescent="0.25">
      <c r="AC79" s="499"/>
      <c r="BJ79" s="94"/>
      <c r="BK79" s="94"/>
      <c r="BL79" s="94"/>
      <c r="BM79" s="94"/>
      <c r="BN79" s="94"/>
      <c r="BO79" s="94"/>
      <c r="BP79" s="94"/>
      <c r="BQ79" s="94"/>
      <c r="BR79" s="94"/>
      <c r="BS79" s="94"/>
      <c r="BT79" s="94"/>
      <c r="BU79" s="94"/>
    </row>
    <row r="80" spans="29:73" ht="18.75" customHeight="1" x14ac:dyDescent="0.25">
      <c r="AC80" s="499"/>
      <c r="BJ80" s="94"/>
      <c r="BK80" s="94"/>
      <c r="BL80" s="94"/>
      <c r="BM80" s="94"/>
      <c r="BN80" s="94"/>
      <c r="BO80" s="94"/>
      <c r="BP80" s="94"/>
      <c r="BQ80" s="94"/>
      <c r="BR80" s="94"/>
      <c r="BS80" s="94"/>
      <c r="BT80" s="94"/>
      <c r="BU80" s="94"/>
    </row>
    <row r="81" spans="29:73" ht="18.75" customHeight="1" x14ac:dyDescent="0.25">
      <c r="AC81" s="499"/>
      <c r="BJ81" s="94"/>
      <c r="BK81" s="94"/>
      <c r="BL81" s="94"/>
      <c r="BM81" s="94"/>
      <c r="BN81" s="94"/>
      <c r="BO81" s="94"/>
      <c r="BP81" s="94"/>
      <c r="BQ81" s="94"/>
      <c r="BR81" s="94"/>
      <c r="BS81" s="94"/>
      <c r="BT81" s="94"/>
      <c r="BU81" s="94"/>
    </row>
    <row r="82" spans="29:73" ht="18.75" customHeight="1" x14ac:dyDescent="0.25">
      <c r="AC82" s="499"/>
      <c r="BJ82" s="94"/>
      <c r="BK82" s="94"/>
      <c r="BL82" s="94"/>
      <c r="BM82" s="94"/>
      <c r="BN82" s="94"/>
      <c r="BO82" s="94"/>
      <c r="BP82" s="94"/>
      <c r="BQ82" s="94"/>
      <c r="BR82" s="94"/>
      <c r="BS82" s="94"/>
      <c r="BT82" s="94"/>
      <c r="BU82" s="94"/>
    </row>
    <row r="83" spans="29:73" ht="18.75" customHeight="1" x14ac:dyDescent="0.25">
      <c r="AC83" s="499"/>
      <c r="BJ83" s="94"/>
      <c r="BK83" s="94"/>
      <c r="BL83" s="94"/>
      <c r="BM83" s="94"/>
      <c r="BN83" s="94"/>
      <c r="BO83" s="94"/>
      <c r="BP83" s="94"/>
      <c r="BQ83" s="94"/>
      <c r="BR83" s="94"/>
      <c r="BS83" s="94"/>
      <c r="BT83" s="94"/>
      <c r="BU83" s="94"/>
    </row>
    <row r="84" spans="29:73" ht="18.75" customHeight="1" x14ac:dyDescent="0.25">
      <c r="AC84" s="499"/>
      <c r="BJ84" s="94"/>
      <c r="BK84" s="94"/>
      <c r="BL84" s="94"/>
      <c r="BM84" s="94"/>
      <c r="BN84" s="94"/>
      <c r="BO84" s="94"/>
      <c r="BP84" s="94"/>
      <c r="BQ84" s="94"/>
      <c r="BR84" s="94"/>
      <c r="BS84" s="94"/>
      <c r="BT84" s="94"/>
      <c r="BU84" s="94"/>
    </row>
    <row r="85" spans="29:73" ht="18.75" customHeight="1" x14ac:dyDescent="0.25">
      <c r="AC85" s="499"/>
      <c r="BJ85" s="94"/>
      <c r="BK85" s="94"/>
      <c r="BL85" s="94"/>
      <c r="BM85" s="94"/>
      <c r="BN85" s="94"/>
      <c r="BO85" s="94"/>
      <c r="BP85" s="94"/>
      <c r="BQ85" s="94"/>
      <c r="BR85" s="94"/>
      <c r="BS85" s="94"/>
      <c r="BT85" s="94"/>
      <c r="BU85" s="94"/>
    </row>
    <row r="86" spans="29:73" ht="18.75" customHeight="1" x14ac:dyDescent="0.25">
      <c r="AC86" s="499"/>
      <c r="BJ86" s="94"/>
      <c r="BK86" s="94"/>
      <c r="BL86" s="94"/>
      <c r="BM86" s="94"/>
      <c r="BN86" s="94"/>
      <c r="BO86" s="94"/>
      <c r="BP86" s="94"/>
      <c r="BQ86" s="94"/>
      <c r="BR86" s="94"/>
      <c r="BS86" s="94"/>
      <c r="BT86" s="94"/>
      <c r="BU86" s="94"/>
    </row>
    <row r="87" spans="29:73" ht="18.75" customHeight="1" x14ac:dyDescent="0.25">
      <c r="AC87" s="499"/>
      <c r="BJ87" s="94"/>
      <c r="BK87" s="94"/>
      <c r="BL87" s="94"/>
      <c r="BM87" s="94"/>
      <c r="BN87" s="94"/>
      <c r="BO87" s="94"/>
      <c r="BP87" s="94"/>
      <c r="BQ87" s="94"/>
      <c r="BR87" s="94"/>
      <c r="BS87" s="94"/>
      <c r="BT87" s="94"/>
      <c r="BU87" s="94"/>
    </row>
    <row r="88" spans="29:73" ht="18.75" customHeight="1" x14ac:dyDescent="0.25">
      <c r="AC88" s="499"/>
      <c r="BJ88" s="94"/>
      <c r="BK88" s="94"/>
      <c r="BL88" s="94"/>
      <c r="BM88" s="94"/>
      <c r="BN88" s="94"/>
      <c r="BO88" s="94"/>
      <c r="BP88" s="94"/>
      <c r="BQ88" s="94"/>
      <c r="BR88" s="94"/>
      <c r="BS88" s="94"/>
      <c r="BT88" s="94"/>
      <c r="BU88" s="94"/>
    </row>
    <row r="89" spans="29:73" ht="18.75" customHeight="1" x14ac:dyDescent="0.25">
      <c r="AC89" s="499"/>
      <c r="BJ89" s="94"/>
      <c r="BK89" s="94"/>
      <c r="BL89" s="94"/>
      <c r="BM89" s="94"/>
      <c r="BN89" s="94"/>
      <c r="BO89" s="94"/>
      <c r="BP89" s="94"/>
      <c r="BQ89" s="94"/>
      <c r="BR89" s="94"/>
      <c r="BS89" s="94"/>
      <c r="BT89" s="94"/>
      <c r="BU89" s="94"/>
    </row>
    <row r="90" spans="29:73" ht="18.75" customHeight="1" x14ac:dyDescent="0.25">
      <c r="AC90" s="499"/>
      <c r="BJ90" s="94"/>
      <c r="BK90" s="94"/>
      <c r="BL90" s="94"/>
      <c r="BM90" s="94"/>
      <c r="BN90" s="94"/>
      <c r="BO90" s="94"/>
      <c r="BP90" s="94"/>
      <c r="BQ90" s="94"/>
      <c r="BR90" s="94"/>
      <c r="BS90" s="94"/>
      <c r="BT90" s="94"/>
      <c r="BU90" s="94"/>
    </row>
    <row r="91" spans="29:73" ht="18.75" customHeight="1" x14ac:dyDescent="0.25">
      <c r="AC91" s="499"/>
      <c r="BJ91" s="94"/>
      <c r="BK91" s="94"/>
      <c r="BL91" s="94"/>
      <c r="BM91" s="94"/>
      <c r="BN91" s="94"/>
      <c r="BO91" s="94"/>
      <c r="BP91" s="94"/>
      <c r="BQ91" s="94"/>
      <c r="BR91" s="94"/>
      <c r="BS91" s="94"/>
      <c r="BT91" s="94"/>
      <c r="BU91" s="94"/>
    </row>
    <row r="92" spans="29:73" ht="18.75" customHeight="1" x14ac:dyDescent="0.25">
      <c r="AC92" s="499"/>
      <c r="BJ92" s="94"/>
      <c r="BK92" s="94"/>
      <c r="BL92" s="94"/>
      <c r="BM92" s="94"/>
      <c r="BN92" s="94"/>
      <c r="BO92" s="94"/>
      <c r="BP92" s="94"/>
      <c r="BQ92" s="94"/>
      <c r="BR92" s="94"/>
      <c r="BS92" s="94"/>
      <c r="BT92" s="94"/>
      <c r="BU92" s="94"/>
    </row>
    <row r="93" spans="29:73" ht="18.75" customHeight="1" x14ac:dyDescent="0.25">
      <c r="AC93" s="499"/>
      <c r="BJ93" s="94"/>
      <c r="BK93" s="94"/>
      <c r="BL93" s="94"/>
      <c r="BM93" s="94"/>
      <c r="BN93" s="94"/>
      <c r="BO93" s="94"/>
      <c r="BP93" s="94"/>
      <c r="BQ93" s="94"/>
      <c r="BR93" s="94"/>
      <c r="BS93" s="94"/>
      <c r="BT93" s="94"/>
      <c r="BU93" s="94"/>
    </row>
    <row r="94" spans="29:73" ht="18.75" customHeight="1" x14ac:dyDescent="0.25">
      <c r="AC94" s="499"/>
      <c r="BJ94" s="94"/>
      <c r="BK94" s="94"/>
      <c r="BL94" s="94"/>
      <c r="BM94" s="94"/>
      <c r="BN94" s="94"/>
      <c r="BO94" s="94"/>
      <c r="BP94" s="94"/>
      <c r="BQ94" s="94"/>
      <c r="BR94" s="94"/>
      <c r="BS94" s="94"/>
      <c r="BT94" s="94"/>
      <c r="BU94" s="94"/>
    </row>
    <row r="95" spans="29:73" ht="18.75" customHeight="1" x14ac:dyDescent="0.25">
      <c r="AC95" s="499"/>
      <c r="BJ95" s="94"/>
      <c r="BK95" s="94"/>
      <c r="BL95" s="94"/>
      <c r="BM95" s="94"/>
      <c r="BN95" s="94"/>
      <c r="BO95" s="94"/>
      <c r="BP95" s="94"/>
      <c r="BQ95" s="94"/>
      <c r="BR95" s="94"/>
      <c r="BS95" s="94"/>
      <c r="BT95" s="94"/>
      <c r="BU95" s="94"/>
    </row>
    <row r="96" spans="29:73" ht="18.75" customHeight="1" x14ac:dyDescent="0.25">
      <c r="AC96" s="499"/>
      <c r="BJ96" s="94"/>
      <c r="BK96" s="94"/>
      <c r="BL96" s="94"/>
      <c r="BM96" s="94"/>
      <c r="BN96" s="94"/>
      <c r="BO96" s="94"/>
      <c r="BP96" s="94"/>
      <c r="BQ96" s="94"/>
      <c r="BR96" s="94"/>
      <c r="BS96" s="94"/>
      <c r="BT96" s="94"/>
      <c r="BU96" s="94"/>
    </row>
    <row r="97" spans="29:73" ht="18.75" customHeight="1" x14ac:dyDescent="0.25">
      <c r="AC97" s="499"/>
      <c r="BJ97" s="94"/>
      <c r="BK97" s="94"/>
      <c r="BL97" s="94"/>
      <c r="BM97" s="94"/>
      <c r="BN97" s="94"/>
      <c r="BO97" s="94"/>
      <c r="BP97" s="94"/>
      <c r="BQ97" s="94"/>
      <c r="BR97" s="94"/>
      <c r="BS97" s="94"/>
      <c r="BT97" s="94"/>
      <c r="BU97" s="94"/>
    </row>
    <row r="98" spans="29:73" ht="18.75" customHeight="1" x14ac:dyDescent="0.25">
      <c r="AC98" s="499"/>
      <c r="BJ98" s="94"/>
      <c r="BK98" s="94"/>
      <c r="BL98" s="94"/>
      <c r="BM98" s="94"/>
      <c r="BN98" s="94"/>
      <c r="BO98" s="94"/>
      <c r="BP98" s="94"/>
      <c r="BQ98" s="94"/>
      <c r="BR98" s="94"/>
      <c r="BS98" s="94"/>
      <c r="BT98" s="94"/>
      <c r="BU98" s="94"/>
    </row>
    <row r="99" spans="29:73" ht="18.75" customHeight="1" x14ac:dyDescent="0.25">
      <c r="AC99" s="499"/>
      <c r="BJ99" s="94"/>
      <c r="BK99" s="94"/>
      <c r="BL99" s="94"/>
      <c r="BM99" s="94"/>
      <c r="BN99" s="94"/>
      <c r="BO99" s="94"/>
      <c r="BP99" s="94"/>
      <c r="BQ99" s="94"/>
      <c r="BR99" s="94"/>
      <c r="BS99" s="94"/>
      <c r="BT99" s="94"/>
      <c r="BU99" s="94"/>
    </row>
    <row r="100" spans="29:73" ht="18.75" customHeight="1" x14ac:dyDescent="0.25">
      <c r="AC100" s="499"/>
      <c r="BJ100" s="94"/>
      <c r="BK100" s="94"/>
      <c r="BL100" s="94"/>
      <c r="BM100" s="94"/>
      <c r="BN100" s="94"/>
      <c r="BO100" s="94"/>
      <c r="BP100" s="94"/>
      <c r="BQ100" s="94"/>
      <c r="BR100" s="94"/>
      <c r="BS100" s="94"/>
      <c r="BT100" s="94"/>
      <c r="BU100" s="94"/>
    </row>
    <row r="101" spans="29:73" ht="18.75" customHeight="1" x14ac:dyDescent="0.25">
      <c r="AC101" s="499"/>
      <c r="BJ101" s="94"/>
      <c r="BK101" s="94"/>
      <c r="BL101" s="94"/>
      <c r="BM101" s="94"/>
      <c r="BN101" s="94"/>
      <c r="BO101" s="94"/>
      <c r="BP101" s="94"/>
      <c r="BQ101" s="94"/>
      <c r="BR101" s="94"/>
      <c r="BS101" s="94"/>
      <c r="BT101" s="94"/>
      <c r="BU101" s="94"/>
    </row>
    <row r="102" spans="29:73" ht="18.75" customHeight="1" x14ac:dyDescent="0.25">
      <c r="AC102" s="499"/>
      <c r="BJ102" s="94"/>
      <c r="BK102" s="94"/>
      <c r="BL102" s="94"/>
      <c r="BM102" s="94"/>
      <c r="BN102" s="94"/>
      <c r="BO102" s="94"/>
      <c r="BP102" s="94"/>
      <c r="BQ102" s="94"/>
      <c r="BR102" s="94"/>
      <c r="BS102" s="94"/>
      <c r="BT102" s="94"/>
      <c r="BU102" s="94"/>
    </row>
    <row r="103" spans="29:73" ht="18.75" customHeight="1" x14ac:dyDescent="0.25">
      <c r="AC103" s="499"/>
      <c r="BJ103" s="94"/>
      <c r="BK103" s="94"/>
      <c r="BL103" s="94"/>
      <c r="BM103" s="94"/>
      <c r="BN103" s="94"/>
      <c r="BO103" s="94"/>
      <c r="BP103" s="94"/>
      <c r="BQ103" s="94"/>
      <c r="BR103" s="94"/>
      <c r="BS103" s="94"/>
      <c r="BT103" s="94"/>
      <c r="BU103" s="94"/>
    </row>
    <row r="104" spans="29:73" ht="18.75" customHeight="1" x14ac:dyDescent="0.25">
      <c r="AC104" s="499"/>
      <c r="BJ104" s="94"/>
      <c r="BK104" s="94"/>
      <c r="BL104" s="94"/>
      <c r="BM104" s="94"/>
      <c r="BN104" s="94"/>
      <c r="BO104" s="94"/>
      <c r="BP104" s="94"/>
      <c r="BQ104" s="94"/>
      <c r="BR104" s="94"/>
      <c r="BS104" s="94"/>
      <c r="BT104" s="94"/>
      <c r="BU104" s="94"/>
    </row>
    <row r="105" spans="29:73" ht="18.75" customHeight="1" x14ac:dyDescent="0.25">
      <c r="AC105" s="499"/>
      <c r="BJ105" s="94"/>
      <c r="BK105" s="94"/>
      <c r="BL105" s="94"/>
      <c r="BM105" s="94"/>
      <c r="BN105" s="94"/>
      <c r="BO105" s="94"/>
      <c r="BP105" s="94"/>
      <c r="BQ105" s="94"/>
      <c r="BR105" s="94"/>
      <c r="BS105" s="94"/>
      <c r="BT105" s="94"/>
      <c r="BU105" s="94"/>
    </row>
    <row r="106" spans="29:73" ht="18.75" customHeight="1" x14ac:dyDescent="0.25">
      <c r="AC106" s="499"/>
      <c r="BJ106" s="94"/>
      <c r="BK106" s="94"/>
      <c r="BL106" s="94"/>
      <c r="BM106" s="94"/>
      <c r="BN106" s="94"/>
      <c r="BO106" s="94"/>
      <c r="BP106" s="94"/>
      <c r="BQ106" s="94"/>
      <c r="BR106" s="94"/>
      <c r="BS106" s="94"/>
      <c r="BT106" s="94"/>
      <c r="BU106" s="94"/>
    </row>
    <row r="107" spans="29:73" ht="18.75" customHeight="1" x14ac:dyDescent="0.25">
      <c r="AC107" s="499"/>
      <c r="BJ107" s="94"/>
      <c r="BK107" s="94"/>
      <c r="BL107" s="94"/>
      <c r="BM107" s="94"/>
      <c r="BN107" s="94"/>
      <c r="BO107" s="94"/>
      <c r="BP107" s="94"/>
      <c r="BQ107" s="94"/>
      <c r="BR107" s="94"/>
      <c r="BS107" s="94"/>
      <c r="BT107" s="94"/>
      <c r="BU107" s="94"/>
    </row>
    <row r="108" spans="29:73" ht="18.75" customHeight="1" x14ac:dyDescent="0.25">
      <c r="AC108" s="499"/>
      <c r="BJ108" s="94"/>
      <c r="BK108" s="94"/>
      <c r="BL108" s="94"/>
      <c r="BM108" s="94"/>
      <c r="BN108" s="94"/>
      <c r="BO108" s="94"/>
      <c r="BP108" s="94"/>
      <c r="BQ108" s="94"/>
      <c r="BR108" s="94"/>
      <c r="BS108" s="94"/>
      <c r="BT108" s="94"/>
      <c r="BU108" s="94"/>
    </row>
    <row r="109" spans="29:73" ht="18.75" customHeight="1" x14ac:dyDescent="0.25">
      <c r="AC109" s="499"/>
      <c r="BJ109" s="94"/>
      <c r="BK109" s="94"/>
      <c r="BL109" s="94"/>
      <c r="BM109" s="94"/>
      <c r="BN109" s="94"/>
      <c r="BO109" s="94"/>
      <c r="BP109" s="94"/>
      <c r="BQ109" s="94"/>
      <c r="BR109" s="94"/>
      <c r="BS109" s="94"/>
      <c r="BT109" s="94"/>
      <c r="BU109" s="94"/>
    </row>
    <row r="110" spans="29:73" ht="18.75" customHeight="1" x14ac:dyDescent="0.25">
      <c r="AC110" s="499"/>
      <c r="BJ110" s="94"/>
      <c r="BK110" s="94"/>
      <c r="BL110" s="94"/>
      <c r="BM110" s="94"/>
      <c r="BN110" s="94"/>
      <c r="BO110" s="94"/>
      <c r="BP110" s="94"/>
      <c r="BQ110" s="94"/>
      <c r="BR110" s="94"/>
      <c r="BS110" s="94"/>
      <c r="BT110" s="94"/>
      <c r="BU110" s="94"/>
    </row>
    <row r="111" spans="29:73" ht="18.75" customHeight="1" x14ac:dyDescent="0.25">
      <c r="AC111" s="499"/>
      <c r="BJ111" s="94"/>
      <c r="BK111" s="94"/>
      <c r="BL111" s="94"/>
      <c r="BM111" s="94"/>
      <c r="BN111" s="94"/>
      <c r="BO111" s="94"/>
      <c r="BP111" s="94"/>
      <c r="BQ111" s="94"/>
      <c r="BR111" s="94"/>
      <c r="BS111" s="94"/>
      <c r="BT111" s="94"/>
      <c r="BU111" s="94"/>
    </row>
    <row r="112" spans="29:73" ht="18.75" customHeight="1" x14ac:dyDescent="0.25">
      <c r="AC112" s="499"/>
      <c r="BJ112" s="94"/>
      <c r="BK112" s="94"/>
      <c r="BL112" s="94"/>
      <c r="BM112" s="94"/>
      <c r="BN112" s="94"/>
      <c r="BO112" s="94"/>
      <c r="BP112" s="94"/>
      <c r="BQ112" s="94"/>
      <c r="BR112" s="94"/>
      <c r="BS112" s="94"/>
      <c r="BT112" s="94"/>
      <c r="BU112" s="94"/>
    </row>
    <row r="113" spans="29:73" ht="18.75" customHeight="1" x14ac:dyDescent="0.25">
      <c r="AC113" s="499"/>
      <c r="BJ113" s="94"/>
      <c r="BK113" s="94"/>
      <c r="BL113" s="94"/>
      <c r="BM113" s="94"/>
      <c r="BN113" s="94"/>
      <c r="BO113" s="94"/>
      <c r="BP113" s="94"/>
      <c r="BQ113" s="94"/>
      <c r="BR113" s="94"/>
      <c r="BS113" s="94"/>
      <c r="BT113" s="94"/>
      <c r="BU113" s="94"/>
    </row>
    <row r="114" spans="29:73" ht="18.75" customHeight="1" x14ac:dyDescent="0.25">
      <c r="AC114" s="499"/>
      <c r="BJ114" s="94"/>
      <c r="BK114" s="94"/>
      <c r="BL114" s="94"/>
      <c r="BM114" s="94"/>
      <c r="BN114" s="94"/>
      <c r="BO114" s="94"/>
      <c r="BP114" s="94"/>
      <c r="BQ114" s="94"/>
      <c r="BR114" s="94"/>
      <c r="BS114" s="94"/>
      <c r="BT114" s="94"/>
      <c r="BU114" s="94"/>
    </row>
    <row r="115" spans="29:73" ht="18.75" customHeight="1" x14ac:dyDescent="0.25">
      <c r="AC115" s="499"/>
      <c r="BJ115" s="94"/>
      <c r="BK115" s="94"/>
      <c r="BL115" s="94"/>
      <c r="BM115" s="94"/>
      <c r="BN115" s="94"/>
      <c r="BO115" s="94"/>
      <c r="BP115" s="94"/>
      <c r="BQ115" s="94"/>
      <c r="BR115" s="94"/>
      <c r="BS115" s="94"/>
      <c r="BT115" s="94"/>
      <c r="BU115" s="94"/>
    </row>
    <row r="116" spans="29:73" ht="18.75" customHeight="1" x14ac:dyDescent="0.25">
      <c r="AC116" s="499"/>
      <c r="BJ116" s="94"/>
      <c r="BK116" s="94"/>
      <c r="BL116" s="94"/>
      <c r="BM116" s="94"/>
      <c r="BN116" s="94"/>
      <c r="BO116" s="94"/>
      <c r="BP116" s="94"/>
      <c r="BQ116" s="94"/>
      <c r="BR116" s="94"/>
      <c r="BS116" s="94"/>
      <c r="BT116" s="94"/>
      <c r="BU116" s="94"/>
    </row>
    <row r="117" spans="29:73" ht="18.75" customHeight="1" x14ac:dyDescent="0.25">
      <c r="AC117" s="499"/>
      <c r="BJ117" s="94"/>
      <c r="BK117" s="94"/>
      <c r="BL117" s="94"/>
      <c r="BM117" s="94"/>
      <c r="BN117" s="94"/>
      <c r="BO117" s="94"/>
      <c r="BP117" s="94"/>
      <c r="BQ117" s="94"/>
      <c r="BR117" s="94"/>
      <c r="BS117" s="94"/>
      <c r="BT117" s="94"/>
      <c r="BU117" s="94"/>
    </row>
    <row r="118" spans="29:73" ht="18.75" customHeight="1" x14ac:dyDescent="0.25">
      <c r="AC118" s="499"/>
      <c r="BJ118" s="94"/>
      <c r="BK118" s="94"/>
      <c r="BL118" s="94"/>
      <c r="BM118" s="94"/>
      <c r="BN118" s="94"/>
      <c r="BO118" s="94"/>
      <c r="BP118" s="94"/>
      <c r="BQ118" s="94"/>
      <c r="BR118" s="94"/>
      <c r="BS118" s="94"/>
      <c r="BT118" s="94"/>
      <c r="BU118" s="94"/>
    </row>
    <row r="119" spans="29:73" ht="18.75" customHeight="1" x14ac:dyDescent="0.25">
      <c r="AC119" s="499"/>
      <c r="BJ119" s="94"/>
      <c r="BK119" s="94"/>
      <c r="BL119" s="94"/>
      <c r="BM119" s="94"/>
      <c r="BN119" s="94"/>
      <c r="BO119" s="94"/>
      <c r="BP119" s="94"/>
      <c r="BQ119" s="94"/>
      <c r="BR119" s="94"/>
      <c r="BS119" s="94"/>
      <c r="BT119" s="94"/>
      <c r="BU119" s="94"/>
    </row>
    <row r="120" spans="29:73" ht="18.75" customHeight="1" x14ac:dyDescent="0.25">
      <c r="AC120" s="499"/>
      <c r="BJ120" s="94"/>
      <c r="BK120" s="94"/>
      <c r="BL120" s="94"/>
      <c r="BM120" s="94"/>
      <c r="BN120" s="94"/>
      <c r="BO120" s="94"/>
      <c r="BP120" s="94"/>
      <c r="BQ120" s="94"/>
      <c r="BR120" s="94"/>
      <c r="BS120" s="94"/>
      <c r="BT120" s="94"/>
      <c r="BU120" s="94"/>
    </row>
    <row r="121" spans="29:73" ht="18.75" customHeight="1" x14ac:dyDescent="0.25">
      <c r="AC121" s="499"/>
      <c r="BJ121" s="94"/>
      <c r="BK121" s="94"/>
      <c r="BL121" s="94"/>
      <c r="BM121" s="94"/>
      <c r="BN121" s="94"/>
      <c r="BO121" s="94"/>
      <c r="BP121" s="94"/>
      <c r="BQ121" s="94"/>
      <c r="BR121" s="94"/>
      <c r="BS121" s="94"/>
      <c r="BT121" s="94"/>
      <c r="BU121" s="94"/>
    </row>
    <row r="122" spans="29:73" ht="18.75" customHeight="1" x14ac:dyDescent="0.25">
      <c r="AC122" s="499"/>
      <c r="BJ122" s="94"/>
      <c r="BK122" s="94"/>
      <c r="BL122" s="94"/>
      <c r="BM122" s="94"/>
      <c r="BN122" s="94"/>
      <c r="BO122" s="94"/>
      <c r="BP122" s="94"/>
      <c r="BQ122" s="94"/>
      <c r="BR122" s="94"/>
      <c r="BS122" s="94"/>
      <c r="BT122" s="94"/>
      <c r="BU122" s="94"/>
    </row>
    <row r="123" spans="29:73" ht="18.75" customHeight="1" x14ac:dyDescent="0.25">
      <c r="AC123" s="499"/>
      <c r="BJ123" s="94"/>
      <c r="BK123" s="94"/>
      <c r="BL123" s="94"/>
      <c r="BM123" s="94"/>
      <c r="BN123" s="94"/>
      <c r="BO123" s="94"/>
      <c r="BP123" s="94"/>
      <c r="BQ123" s="94"/>
      <c r="BR123" s="94"/>
      <c r="BS123" s="94"/>
      <c r="BT123" s="94"/>
      <c r="BU123" s="94"/>
    </row>
    <row r="124" spans="29:73" ht="18.75" customHeight="1" x14ac:dyDescent="0.25">
      <c r="AC124" s="499"/>
      <c r="BJ124" s="94"/>
      <c r="BK124" s="94"/>
      <c r="BL124" s="94"/>
      <c r="BM124" s="94"/>
      <c r="BN124" s="94"/>
      <c r="BO124" s="94"/>
      <c r="BP124" s="94"/>
      <c r="BQ124" s="94"/>
      <c r="BR124" s="94"/>
      <c r="BS124" s="94"/>
      <c r="BT124" s="94"/>
      <c r="BU124" s="94"/>
    </row>
    <row r="125" spans="29:73" ht="18.75" customHeight="1" x14ac:dyDescent="0.25">
      <c r="AC125" s="499"/>
      <c r="BJ125" s="94"/>
      <c r="BK125" s="94"/>
      <c r="BL125" s="94"/>
      <c r="BM125" s="94"/>
      <c r="BN125" s="94"/>
      <c r="BO125" s="94"/>
      <c r="BP125" s="94"/>
      <c r="BQ125" s="94"/>
      <c r="BR125" s="94"/>
      <c r="BS125" s="94"/>
      <c r="BT125" s="94"/>
      <c r="BU125" s="94"/>
    </row>
    <row r="126" spans="29:73" ht="18.75" customHeight="1" x14ac:dyDescent="0.25">
      <c r="AC126" s="499"/>
      <c r="BJ126" s="94"/>
      <c r="BK126" s="94"/>
      <c r="BL126" s="94"/>
      <c r="BM126" s="94"/>
      <c r="BN126" s="94"/>
      <c r="BO126" s="94"/>
      <c r="BP126" s="94"/>
      <c r="BQ126" s="94"/>
      <c r="BR126" s="94"/>
      <c r="BS126" s="94"/>
      <c r="BT126" s="94"/>
      <c r="BU126" s="94"/>
    </row>
    <row r="127" spans="29:73" ht="18.75" customHeight="1" x14ac:dyDescent="0.25">
      <c r="AC127" s="499"/>
      <c r="BJ127" s="94"/>
      <c r="BK127" s="94"/>
      <c r="BL127" s="94"/>
      <c r="BM127" s="94"/>
      <c r="BN127" s="94"/>
      <c r="BO127" s="94"/>
      <c r="BP127" s="94"/>
      <c r="BQ127" s="94"/>
      <c r="BR127" s="94"/>
      <c r="BS127" s="94"/>
      <c r="BT127" s="94"/>
      <c r="BU127" s="94"/>
    </row>
    <row r="128" spans="29:73" ht="18.75" customHeight="1" x14ac:dyDescent="0.25">
      <c r="AC128" s="499"/>
      <c r="BJ128" s="94"/>
      <c r="BK128" s="94"/>
      <c r="BL128" s="94"/>
      <c r="BM128" s="94"/>
      <c r="BN128" s="94"/>
      <c r="BO128" s="94"/>
      <c r="BP128" s="94"/>
      <c r="BQ128" s="94"/>
      <c r="BR128" s="94"/>
      <c r="BS128" s="94"/>
      <c r="BT128" s="94"/>
      <c r="BU128" s="94"/>
    </row>
    <row r="129" spans="62:73" ht="18.75" customHeight="1" x14ac:dyDescent="0.25">
      <c r="BJ129" s="94"/>
      <c r="BK129" s="94"/>
      <c r="BL129" s="94"/>
      <c r="BM129" s="94"/>
      <c r="BN129" s="94"/>
      <c r="BO129" s="94"/>
      <c r="BP129" s="94"/>
      <c r="BQ129" s="94"/>
      <c r="BR129" s="94"/>
      <c r="BS129" s="94"/>
      <c r="BT129" s="94"/>
      <c r="BU129" s="94"/>
    </row>
    <row r="130" spans="62:73" ht="18.75" customHeight="1" x14ac:dyDescent="0.25">
      <c r="BJ130" s="94"/>
      <c r="BK130" s="94"/>
      <c r="BL130" s="94"/>
      <c r="BM130" s="94"/>
      <c r="BN130" s="94"/>
      <c r="BO130" s="94"/>
      <c r="BP130" s="94"/>
      <c r="BQ130" s="94"/>
      <c r="BR130" s="94"/>
      <c r="BS130" s="94"/>
      <c r="BT130" s="94"/>
      <c r="BU130" s="94"/>
    </row>
    <row r="131" spans="62:73" ht="18.75" customHeight="1" x14ac:dyDescent="0.25">
      <c r="BJ131" s="94"/>
      <c r="BK131" s="94"/>
      <c r="BL131" s="94"/>
      <c r="BM131" s="94"/>
      <c r="BN131" s="94"/>
      <c r="BO131" s="94"/>
      <c r="BP131" s="94"/>
      <c r="BQ131" s="94"/>
      <c r="BR131" s="94"/>
      <c r="BS131" s="94"/>
      <c r="BT131" s="94"/>
      <c r="BU131" s="94"/>
    </row>
    <row r="132" spans="62:73" ht="18.75" customHeight="1" x14ac:dyDescent="0.25">
      <c r="BJ132" s="94"/>
      <c r="BK132" s="94"/>
      <c r="BL132" s="94"/>
      <c r="BM132" s="94"/>
      <c r="BN132" s="94"/>
      <c r="BO132" s="94"/>
      <c r="BP132" s="94"/>
      <c r="BQ132" s="94"/>
      <c r="BR132" s="94"/>
      <c r="BS132" s="94"/>
      <c r="BT132" s="94"/>
      <c r="BU132" s="94"/>
    </row>
    <row r="133" spans="62:73" ht="18.75" customHeight="1" x14ac:dyDescent="0.25">
      <c r="BJ133" s="94"/>
      <c r="BK133" s="94"/>
      <c r="BL133" s="94"/>
      <c r="BM133" s="94"/>
      <c r="BN133" s="94"/>
      <c r="BO133" s="94"/>
      <c r="BP133" s="94"/>
      <c r="BQ133" s="94"/>
      <c r="BR133" s="94"/>
      <c r="BS133" s="94"/>
      <c r="BT133" s="94"/>
      <c r="BU133" s="94"/>
    </row>
    <row r="134" spans="62:73" ht="18.75" customHeight="1" x14ac:dyDescent="0.25">
      <c r="BJ134" s="94"/>
      <c r="BK134" s="94"/>
      <c r="BL134" s="94"/>
      <c r="BM134" s="94"/>
      <c r="BN134" s="94"/>
      <c r="BO134" s="94"/>
      <c r="BP134" s="94"/>
      <c r="BQ134" s="94"/>
      <c r="BR134" s="94"/>
      <c r="BS134" s="94"/>
      <c r="BT134" s="94"/>
      <c r="BU134" s="94"/>
    </row>
    <row r="135" spans="62:73" ht="18.75" customHeight="1" x14ac:dyDescent="0.25">
      <c r="BJ135" s="94"/>
      <c r="BK135" s="94"/>
      <c r="BL135" s="94"/>
      <c r="BM135" s="94"/>
      <c r="BN135" s="94"/>
      <c r="BO135" s="94"/>
      <c r="BP135" s="94"/>
      <c r="BQ135" s="94"/>
      <c r="BR135" s="94"/>
      <c r="BS135" s="94"/>
      <c r="BT135" s="94"/>
      <c r="BU135" s="94"/>
    </row>
    <row r="136" spans="62:73" ht="18.75" customHeight="1" x14ac:dyDescent="0.25">
      <c r="BJ136" s="94"/>
      <c r="BK136" s="94"/>
      <c r="BL136" s="94"/>
      <c r="BM136" s="94"/>
      <c r="BN136" s="94"/>
      <c r="BO136" s="94"/>
      <c r="BP136" s="94"/>
      <c r="BQ136" s="94"/>
      <c r="BR136" s="94"/>
      <c r="BS136" s="94"/>
      <c r="BT136" s="94"/>
      <c r="BU136" s="94"/>
    </row>
    <row r="137" spans="62:73" ht="18.75" customHeight="1" x14ac:dyDescent="0.25">
      <c r="BJ137" s="94"/>
      <c r="BK137" s="94"/>
      <c r="BL137" s="94"/>
      <c r="BM137" s="94"/>
      <c r="BN137" s="94"/>
      <c r="BO137" s="94"/>
      <c r="BP137" s="94"/>
      <c r="BQ137" s="94"/>
      <c r="BR137" s="94"/>
      <c r="BS137" s="94"/>
      <c r="BT137" s="94"/>
      <c r="BU137" s="94"/>
    </row>
    <row r="138" spans="62:73" ht="18.75" customHeight="1" x14ac:dyDescent="0.25">
      <c r="BJ138" s="94"/>
      <c r="BK138" s="94"/>
      <c r="BL138" s="94"/>
      <c r="BM138" s="94"/>
      <c r="BN138" s="94"/>
      <c r="BO138" s="94"/>
      <c r="BP138" s="94"/>
      <c r="BQ138" s="94"/>
      <c r="BR138" s="94"/>
      <c r="BS138" s="94"/>
      <c r="BT138" s="94"/>
      <c r="BU138" s="94"/>
    </row>
    <row r="139" spans="62:73" ht="18.75" customHeight="1" x14ac:dyDescent="0.25">
      <c r="BJ139" s="94"/>
      <c r="BK139" s="94"/>
      <c r="BL139" s="94"/>
      <c r="BM139" s="94"/>
      <c r="BN139" s="94"/>
      <c r="BO139" s="94"/>
      <c r="BP139" s="94"/>
      <c r="BQ139" s="94"/>
      <c r="BR139" s="94"/>
      <c r="BS139" s="94"/>
      <c r="BT139" s="94"/>
      <c r="BU139" s="94"/>
    </row>
    <row r="140" spans="62:73" ht="18.75" customHeight="1" x14ac:dyDescent="0.25">
      <c r="BJ140" s="94"/>
      <c r="BK140" s="94"/>
      <c r="BL140" s="94"/>
      <c r="BM140" s="94"/>
      <c r="BN140" s="94"/>
      <c r="BO140" s="94"/>
      <c r="BP140" s="94"/>
      <c r="BQ140" s="94"/>
      <c r="BR140" s="94"/>
      <c r="BS140" s="94"/>
      <c r="BT140" s="94"/>
      <c r="BU140" s="94"/>
    </row>
    <row r="141" spans="62:73" ht="18.75" customHeight="1" x14ac:dyDescent="0.25">
      <c r="BJ141" s="94"/>
      <c r="BK141" s="94"/>
      <c r="BL141" s="94"/>
      <c r="BM141" s="94"/>
      <c r="BN141" s="94"/>
      <c r="BO141" s="94"/>
      <c r="BP141" s="94"/>
      <c r="BQ141" s="94"/>
      <c r="BR141" s="94"/>
      <c r="BS141" s="94"/>
      <c r="BT141" s="94"/>
      <c r="BU141" s="94"/>
    </row>
    <row r="142" spans="62:73" ht="18.75" customHeight="1" x14ac:dyDescent="0.25">
      <c r="BJ142" s="94"/>
      <c r="BK142" s="94"/>
      <c r="BL142" s="94"/>
      <c r="BM142" s="94"/>
      <c r="BN142" s="94"/>
      <c r="BO142" s="94"/>
      <c r="BP142" s="94"/>
      <c r="BQ142" s="94"/>
      <c r="BR142" s="94"/>
      <c r="BS142" s="94"/>
      <c r="BT142" s="94"/>
      <c r="BU142" s="94"/>
    </row>
    <row r="143" spans="62:73" ht="18.75" customHeight="1" x14ac:dyDescent="0.25">
      <c r="BJ143" s="94"/>
      <c r="BK143" s="94"/>
      <c r="BL143" s="94"/>
      <c r="BM143" s="94"/>
      <c r="BN143" s="94"/>
      <c r="BO143" s="94"/>
      <c r="BP143" s="94"/>
      <c r="BQ143" s="94"/>
      <c r="BR143" s="94"/>
      <c r="BS143" s="94"/>
      <c r="BT143" s="94"/>
      <c r="BU143" s="94"/>
    </row>
    <row r="144" spans="62:73" ht="18.75" customHeight="1" x14ac:dyDescent="0.25">
      <c r="BJ144" s="94"/>
      <c r="BK144" s="94"/>
      <c r="BL144" s="94"/>
      <c r="BM144" s="94"/>
      <c r="BN144" s="94"/>
      <c r="BO144" s="94"/>
      <c r="BP144" s="94"/>
      <c r="BQ144" s="94"/>
      <c r="BR144" s="94"/>
      <c r="BS144" s="94"/>
      <c r="BT144" s="94"/>
      <c r="BU144" s="94"/>
    </row>
    <row r="145" spans="62:73" ht="18.75" customHeight="1" x14ac:dyDescent="0.25">
      <c r="BJ145" s="94"/>
      <c r="BK145" s="94"/>
      <c r="BL145" s="94"/>
      <c r="BM145" s="94"/>
      <c r="BN145" s="94"/>
      <c r="BO145" s="94"/>
      <c r="BP145" s="94"/>
      <c r="BQ145" s="94"/>
      <c r="BR145" s="94"/>
      <c r="BS145" s="94"/>
      <c r="BT145" s="94"/>
      <c r="BU145" s="94"/>
    </row>
    <row r="146" spans="62:73" ht="18.75" customHeight="1" x14ac:dyDescent="0.25">
      <c r="BJ146" s="94"/>
      <c r="BK146" s="94"/>
      <c r="BL146" s="94"/>
      <c r="BM146" s="94"/>
      <c r="BN146" s="94"/>
      <c r="BO146" s="94"/>
      <c r="BP146" s="94"/>
      <c r="BQ146" s="94"/>
      <c r="BR146" s="94"/>
      <c r="BS146" s="94"/>
      <c r="BT146" s="94"/>
      <c r="BU146" s="94"/>
    </row>
    <row r="147" spans="62:73" ht="18.75" customHeight="1" x14ac:dyDescent="0.25">
      <c r="BJ147" s="94"/>
      <c r="BK147" s="94"/>
      <c r="BL147" s="94"/>
      <c r="BM147" s="94"/>
      <c r="BN147" s="94"/>
      <c r="BO147" s="94"/>
      <c r="BP147" s="94"/>
      <c r="BQ147" s="94"/>
      <c r="BR147" s="94"/>
      <c r="BS147" s="94"/>
      <c r="BT147" s="94"/>
      <c r="BU147" s="94"/>
    </row>
    <row r="148" spans="62:73" ht="18.75" customHeight="1" x14ac:dyDescent="0.25">
      <c r="BJ148" s="94"/>
      <c r="BK148" s="94"/>
      <c r="BL148" s="94"/>
      <c r="BM148" s="94"/>
      <c r="BN148" s="94"/>
      <c r="BO148" s="94"/>
      <c r="BP148" s="94"/>
      <c r="BQ148" s="94"/>
      <c r="BR148" s="94"/>
      <c r="BS148" s="94"/>
      <c r="BT148" s="94"/>
      <c r="BU148" s="94"/>
    </row>
    <row r="149" spans="62:73" ht="18.75" customHeight="1" x14ac:dyDescent="0.25">
      <c r="BJ149" s="94"/>
      <c r="BK149" s="94"/>
      <c r="BL149" s="94"/>
      <c r="BM149" s="94"/>
      <c r="BN149" s="94"/>
      <c r="BO149" s="94"/>
      <c r="BP149" s="94"/>
      <c r="BQ149" s="94"/>
      <c r="BR149" s="94"/>
      <c r="BS149" s="94"/>
      <c r="BT149" s="94"/>
      <c r="BU149" s="94"/>
    </row>
    <row r="150" spans="62:73" ht="18.75" customHeight="1" x14ac:dyDescent="0.25">
      <c r="BJ150" s="94"/>
      <c r="BK150" s="94"/>
      <c r="BL150" s="94"/>
      <c r="BM150" s="94"/>
      <c r="BN150" s="94"/>
      <c r="BO150" s="94"/>
      <c r="BP150" s="94"/>
      <c r="BQ150" s="94"/>
      <c r="BR150" s="94"/>
      <c r="BS150" s="94"/>
      <c r="BT150" s="94"/>
      <c r="BU150" s="94"/>
    </row>
    <row r="151" spans="62:73" ht="18.75" customHeight="1" x14ac:dyDescent="0.25">
      <c r="BJ151" s="94"/>
      <c r="BK151" s="94"/>
      <c r="BL151" s="94"/>
      <c r="BM151" s="94"/>
      <c r="BN151" s="94"/>
      <c r="BO151" s="94"/>
      <c r="BP151" s="94"/>
      <c r="BQ151" s="94"/>
      <c r="BR151" s="94"/>
      <c r="BS151" s="94"/>
      <c r="BT151" s="94"/>
      <c r="BU151" s="94"/>
    </row>
    <row r="152" spans="62:73" ht="18.75" customHeight="1" x14ac:dyDescent="0.25">
      <c r="BJ152" s="94"/>
      <c r="BK152" s="94"/>
      <c r="BL152" s="94"/>
      <c r="BM152" s="94"/>
      <c r="BN152" s="94"/>
      <c r="BO152" s="94"/>
      <c r="BP152" s="94"/>
      <c r="BQ152" s="94"/>
      <c r="BR152" s="94"/>
      <c r="BS152" s="94"/>
      <c r="BT152" s="94"/>
      <c r="BU152" s="94"/>
    </row>
    <row r="153" spans="62:73" ht="18.75" customHeight="1" x14ac:dyDescent="0.25">
      <c r="BJ153" s="94"/>
      <c r="BK153" s="94"/>
      <c r="BL153" s="94"/>
      <c r="BM153" s="94"/>
      <c r="BN153" s="94"/>
      <c r="BO153" s="94"/>
      <c r="BP153" s="94"/>
      <c r="BQ153" s="94"/>
      <c r="BR153" s="94"/>
      <c r="BS153" s="94"/>
      <c r="BT153" s="94"/>
      <c r="BU153" s="94"/>
    </row>
    <row r="154" spans="62:73" ht="18.75" customHeight="1" x14ac:dyDescent="0.25">
      <c r="BJ154" s="94"/>
      <c r="BK154" s="94"/>
      <c r="BL154" s="94"/>
      <c r="BM154" s="94"/>
      <c r="BN154" s="94"/>
      <c r="BO154" s="94"/>
      <c r="BP154" s="94"/>
      <c r="BQ154" s="94"/>
      <c r="BR154" s="94"/>
      <c r="BS154" s="94"/>
      <c r="BT154" s="94"/>
      <c r="BU154" s="94"/>
    </row>
    <row r="155" spans="62:73" ht="18.75" customHeight="1" x14ac:dyDescent="0.25">
      <c r="BJ155" s="94"/>
      <c r="BK155" s="94"/>
      <c r="BL155" s="94"/>
      <c r="BM155" s="94"/>
      <c r="BN155" s="94"/>
      <c r="BO155" s="94"/>
      <c r="BP155" s="94"/>
      <c r="BQ155" s="94"/>
      <c r="BR155" s="94"/>
      <c r="BS155" s="94"/>
      <c r="BT155" s="94"/>
      <c r="BU155" s="94"/>
    </row>
    <row r="156" spans="62:73" ht="18.75" customHeight="1" x14ac:dyDescent="0.25">
      <c r="BJ156" s="94"/>
      <c r="BK156" s="94"/>
      <c r="BL156" s="94"/>
      <c r="BM156" s="94"/>
      <c r="BN156" s="94"/>
      <c r="BO156" s="94"/>
      <c r="BP156" s="94"/>
      <c r="BQ156" s="94"/>
      <c r="BR156" s="94"/>
      <c r="BS156" s="94"/>
      <c r="BT156" s="94"/>
      <c r="BU156" s="94"/>
    </row>
    <row r="157" spans="62:73" ht="18.75" customHeight="1" x14ac:dyDescent="0.25">
      <c r="BJ157" s="94"/>
      <c r="BK157" s="94"/>
      <c r="BL157" s="94"/>
      <c r="BM157" s="94"/>
      <c r="BN157" s="94"/>
      <c r="BO157" s="94"/>
      <c r="BP157" s="94"/>
      <c r="BQ157" s="94"/>
      <c r="BR157" s="94"/>
      <c r="BS157" s="94"/>
      <c r="BT157" s="94"/>
      <c r="BU157" s="94"/>
    </row>
    <row r="158" spans="62:73" ht="18.75" customHeight="1" x14ac:dyDescent="0.25">
      <c r="BJ158" s="94"/>
      <c r="BK158" s="94"/>
      <c r="BL158" s="94"/>
      <c r="BM158" s="94"/>
      <c r="BN158" s="94"/>
      <c r="BO158" s="94"/>
      <c r="BP158" s="94"/>
      <c r="BQ158" s="94"/>
      <c r="BR158" s="94"/>
      <c r="BS158" s="94"/>
      <c r="BT158" s="94"/>
      <c r="BU158" s="94"/>
    </row>
    <row r="159" spans="62:73" ht="18.75" customHeight="1" x14ac:dyDescent="0.25">
      <c r="BJ159" s="94"/>
      <c r="BK159" s="94"/>
      <c r="BL159" s="94"/>
      <c r="BM159" s="94"/>
      <c r="BN159" s="94"/>
      <c r="BO159" s="94"/>
      <c r="BP159" s="94"/>
      <c r="BQ159" s="94"/>
      <c r="BR159" s="94"/>
      <c r="BS159" s="94"/>
      <c r="BT159" s="94"/>
      <c r="BU159" s="94"/>
    </row>
    <row r="160" spans="62:73" ht="18.75" customHeight="1" x14ac:dyDescent="0.25">
      <c r="BJ160" s="94"/>
      <c r="BK160" s="94"/>
      <c r="BL160" s="94"/>
      <c r="BM160" s="94"/>
      <c r="BN160" s="94"/>
      <c r="BO160" s="94"/>
      <c r="BP160" s="94"/>
      <c r="BQ160" s="94"/>
      <c r="BR160" s="94"/>
      <c r="BS160" s="94"/>
      <c r="BT160" s="94"/>
      <c r="BU160" s="94"/>
    </row>
    <row r="161" spans="62:73" ht="18.75" customHeight="1" x14ac:dyDescent="0.25">
      <c r="BJ161" s="94"/>
      <c r="BK161" s="94"/>
      <c r="BL161" s="94"/>
      <c r="BM161" s="94"/>
      <c r="BN161" s="94"/>
      <c r="BO161" s="94"/>
      <c r="BP161" s="94"/>
      <c r="BQ161" s="94"/>
      <c r="BR161" s="94"/>
      <c r="BS161" s="94"/>
      <c r="BT161" s="94"/>
      <c r="BU161" s="94"/>
    </row>
    <row r="162" spans="62:73" ht="18.75" customHeight="1" x14ac:dyDescent="0.25">
      <c r="BJ162" s="94"/>
      <c r="BK162" s="94"/>
      <c r="BL162" s="94"/>
      <c r="BM162" s="94"/>
      <c r="BN162" s="94"/>
      <c r="BO162" s="94"/>
      <c r="BP162" s="94"/>
      <c r="BQ162" s="94"/>
      <c r="BR162" s="94"/>
      <c r="BS162" s="94"/>
      <c r="BT162" s="94"/>
      <c r="BU162" s="94"/>
    </row>
    <row r="163" spans="62:73" ht="18.75" customHeight="1" x14ac:dyDescent="0.25">
      <c r="BJ163" s="94"/>
      <c r="BK163" s="94"/>
      <c r="BL163" s="94"/>
      <c r="BM163" s="94"/>
      <c r="BN163" s="94"/>
      <c r="BO163" s="94"/>
      <c r="BP163" s="94"/>
      <c r="BQ163" s="94"/>
      <c r="BR163" s="94"/>
      <c r="BS163" s="94"/>
      <c r="BT163" s="94"/>
      <c r="BU163" s="94"/>
    </row>
    <row r="164" spans="62:73" ht="18.75" customHeight="1" x14ac:dyDescent="0.25">
      <c r="BJ164" s="94"/>
      <c r="BK164" s="94"/>
      <c r="BL164" s="94"/>
      <c r="BM164" s="94"/>
      <c r="BN164" s="94"/>
      <c r="BO164" s="94"/>
      <c r="BP164" s="94"/>
      <c r="BQ164" s="94"/>
      <c r="BR164" s="94"/>
      <c r="BS164" s="94"/>
      <c r="BT164" s="94"/>
      <c r="BU164" s="94"/>
    </row>
    <row r="165" spans="62:73" ht="18.75" customHeight="1" x14ac:dyDescent="0.25">
      <c r="BJ165" s="94"/>
      <c r="BK165" s="94"/>
      <c r="BL165" s="94"/>
      <c r="BM165" s="94"/>
      <c r="BN165" s="94"/>
      <c r="BO165" s="94"/>
      <c r="BP165" s="94"/>
      <c r="BQ165" s="94"/>
      <c r="BR165" s="94"/>
      <c r="BS165" s="94"/>
      <c r="BT165" s="94"/>
      <c r="BU165" s="94"/>
    </row>
    <row r="166" spans="62:73" ht="18.75" customHeight="1" x14ac:dyDescent="0.25">
      <c r="BJ166" s="94"/>
      <c r="BK166" s="94"/>
      <c r="BL166" s="94"/>
      <c r="BM166" s="94"/>
      <c r="BN166" s="94"/>
      <c r="BO166" s="94"/>
      <c r="BP166" s="94"/>
      <c r="BQ166" s="94"/>
      <c r="BR166" s="94"/>
      <c r="BS166" s="94"/>
      <c r="BT166" s="94"/>
      <c r="BU166" s="94"/>
    </row>
    <row r="167" spans="62:73" ht="18.75" customHeight="1" x14ac:dyDescent="0.25">
      <c r="BJ167" s="94"/>
      <c r="BK167" s="94"/>
      <c r="BL167" s="94"/>
      <c r="BM167" s="94"/>
      <c r="BN167" s="94"/>
      <c r="BO167" s="94"/>
      <c r="BP167" s="94"/>
      <c r="BQ167" s="94"/>
      <c r="BR167" s="94"/>
      <c r="BS167" s="94"/>
      <c r="BT167" s="94"/>
      <c r="BU167" s="94"/>
    </row>
    <row r="168" spans="62:73" ht="18.75" customHeight="1" x14ac:dyDescent="0.25">
      <c r="BJ168" s="94"/>
      <c r="BK168" s="94"/>
      <c r="BL168" s="94"/>
      <c r="BM168" s="94"/>
      <c r="BN168" s="94"/>
      <c r="BO168" s="94"/>
      <c r="BP168" s="94"/>
      <c r="BQ168" s="94"/>
      <c r="BR168" s="94"/>
      <c r="BS168" s="94"/>
      <c r="BT168" s="94"/>
      <c r="BU168" s="94"/>
    </row>
    <row r="169" spans="62:73" ht="18.75" customHeight="1" x14ac:dyDescent="0.25">
      <c r="BJ169" s="94"/>
      <c r="BK169" s="94"/>
      <c r="BL169" s="94"/>
      <c r="BM169" s="94"/>
      <c r="BN169" s="94"/>
      <c r="BO169" s="94"/>
      <c r="BP169" s="94"/>
      <c r="BQ169" s="94"/>
      <c r="BR169" s="94"/>
      <c r="BS169" s="94"/>
      <c r="BT169" s="94"/>
      <c r="BU169" s="94"/>
    </row>
    <row r="170" spans="62:73" ht="18.75" customHeight="1" x14ac:dyDescent="0.25">
      <c r="BJ170" s="94"/>
      <c r="BK170" s="94"/>
      <c r="BL170" s="94"/>
      <c r="BM170" s="94"/>
      <c r="BN170" s="94"/>
      <c r="BO170" s="94"/>
      <c r="BP170" s="94"/>
      <c r="BQ170" s="94"/>
      <c r="BR170" s="94"/>
      <c r="BS170" s="94"/>
      <c r="BT170" s="94"/>
      <c r="BU170" s="94"/>
    </row>
    <row r="171" spans="62:73" ht="18.75" customHeight="1" x14ac:dyDescent="0.25">
      <c r="BJ171" s="94"/>
      <c r="BK171" s="94"/>
      <c r="BL171" s="94"/>
      <c r="BM171" s="94"/>
      <c r="BN171" s="94"/>
      <c r="BO171" s="94"/>
      <c r="BP171" s="94"/>
      <c r="BQ171" s="94"/>
      <c r="BR171" s="94"/>
      <c r="BS171" s="94"/>
      <c r="BT171" s="94"/>
      <c r="BU171" s="94"/>
    </row>
    <row r="172" spans="62:73" ht="18.75" customHeight="1" x14ac:dyDescent="0.25">
      <c r="BJ172" s="94"/>
      <c r="BK172" s="94"/>
      <c r="BL172" s="94"/>
      <c r="BM172" s="94"/>
      <c r="BN172" s="94"/>
      <c r="BO172" s="94"/>
      <c r="BP172" s="94"/>
      <c r="BQ172" s="94"/>
      <c r="BR172" s="94"/>
      <c r="BS172" s="94"/>
      <c r="BT172" s="94"/>
      <c r="BU172" s="94"/>
    </row>
    <row r="173" spans="62:73" ht="18.75" customHeight="1" x14ac:dyDescent="0.25">
      <c r="BJ173" s="94"/>
      <c r="BK173" s="94"/>
      <c r="BL173" s="94"/>
      <c r="BM173" s="94"/>
      <c r="BN173" s="94"/>
      <c r="BO173" s="94"/>
      <c r="BP173" s="94"/>
      <c r="BQ173" s="94"/>
      <c r="BR173" s="94"/>
      <c r="BS173" s="94"/>
      <c r="BT173" s="94"/>
      <c r="BU173" s="94"/>
    </row>
    <row r="174" spans="62:73" ht="18.75" customHeight="1" x14ac:dyDescent="0.25">
      <c r="BJ174" s="94"/>
      <c r="BK174" s="94"/>
      <c r="BL174" s="94"/>
      <c r="BM174" s="94"/>
      <c r="BN174" s="94"/>
      <c r="BO174" s="94"/>
      <c r="BP174" s="94"/>
      <c r="BQ174" s="94"/>
      <c r="BR174" s="94"/>
      <c r="BS174" s="94"/>
      <c r="BT174" s="94"/>
      <c r="BU174" s="94"/>
    </row>
    <row r="175" spans="62:73" ht="18.75" customHeight="1" x14ac:dyDescent="0.25">
      <c r="BJ175" s="94"/>
      <c r="BK175" s="94"/>
      <c r="BL175" s="94"/>
      <c r="BM175" s="94"/>
      <c r="BN175" s="94"/>
      <c r="BO175" s="94"/>
      <c r="BP175" s="94"/>
      <c r="BQ175" s="94"/>
      <c r="BR175" s="94"/>
      <c r="BS175" s="94"/>
      <c r="BT175" s="94"/>
      <c r="BU175" s="94"/>
    </row>
    <row r="176" spans="62:73" ht="18.75" customHeight="1" x14ac:dyDescent="0.25">
      <c r="BJ176" s="94"/>
      <c r="BK176" s="94"/>
      <c r="BL176" s="94"/>
      <c r="BM176" s="94"/>
      <c r="BN176" s="94"/>
      <c r="BO176" s="94"/>
      <c r="BP176" s="94"/>
      <c r="BQ176" s="94"/>
      <c r="BR176" s="94"/>
      <c r="BS176" s="94"/>
      <c r="BT176" s="94"/>
      <c r="BU176" s="94"/>
    </row>
    <row r="177" spans="62:73" ht="18.75" customHeight="1" x14ac:dyDescent="0.25">
      <c r="BJ177" s="94"/>
      <c r="BK177" s="94"/>
      <c r="BL177" s="94"/>
      <c r="BM177" s="94"/>
      <c r="BN177" s="94"/>
      <c r="BO177" s="94"/>
      <c r="BP177" s="94"/>
      <c r="BQ177" s="94"/>
      <c r="BR177" s="94"/>
      <c r="BS177" s="94"/>
      <c r="BT177" s="94"/>
      <c r="BU177" s="94"/>
    </row>
    <row r="178" spans="62:73" ht="18.75" customHeight="1" x14ac:dyDescent="0.25">
      <c r="BJ178" s="94"/>
      <c r="BK178" s="94"/>
      <c r="BL178" s="94"/>
      <c r="BM178" s="94"/>
      <c r="BN178" s="94"/>
      <c r="BO178" s="94"/>
      <c r="BP178" s="94"/>
      <c r="BQ178" s="94"/>
      <c r="BR178" s="94"/>
      <c r="BS178" s="94"/>
      <c r="BT178" s="94"/>
      <c r="BU178" s="94"/>
    </row>
    <row r="179" spans="62:73" ht="18.75" customHeight="1" x14ac:dyDescent="0.25">
      <c r="BJ179" s="94"/>
      <c r="BK179" s="94"/>
      <c r="BL179" s="94"/>
      <c r="BM179" s="94"/>
      <c r="BN179" s="94"/>
      <c r="BO179" s="94"/>
      <c r="BP179" s="94"/>
      <c r="BQ179" s="94"/>
      <c r="BR179" s="94"/>
      <c r="BS179" s="94"/>
      <c r="BT179" s="94"/>
      <c r="BU179" s="94"/>
    </row>
    <row r="180" spans="62:73" ht="18.75" customHeight="1" x14ac:dyDescent="0.25">
      <c r="BJ180" s="94"/>
      <c r="BK180" s="94"/>
      <c r="BL180" s="94"/>
      <c r="BM180" s="94"/>
      <c r="BN180" s="94"/>
      <c r="BO180" s="94"/>
      <c r="BP180" s="94"/>
      <c r="BQ180" s="94"/>
      <c r="BR180" s="94"/>
      <c r="BS180" s="94"/>
      <c r="BT180" s="94"/>
      <c r="BU180" s="94"/>
    </row>
    <row r="181" spans="62:73" ht="18.75" customHeight="1" x14ac:dyDescent="0.25">
      <c r="BJ181" s="94"/>
      <c r="BK181" s="94"/>
      <c r="BL181" s="94"/>
      <c r="BM181" s="94"/>
      <c r="BN181" s="94"/>
      <c r="BO181" s="94"/>
      <c r="BP181" s="94"/>
      <c r="BQ181" s="94"/>
      <c r="BR181" s="94"/>
      <c r="BS181" s="94"/>
      <c r="BT181" s="94"/>
      <c r="BU181" s="94"/>
    </row>
    <row r="182" spans="62:73" ht="18.75" customHeight="1" x14ac:dyDescent="0.25">
      <c r="BJ182" s="94"/>
      <c r="BK182" s="94"/>
      <c r="BL182" s="94"/>
      <c r="BM182" s="94"/>
      <c r="BN182" s="94"/>
      <c r="BO182" s="94"/>
      <c r="BP182" s="94"/>
      <c r="BQ182" s="94"/>
      <c r="BR182" s="94"/>
      <c r="BS182" s="94"/>
      <c r="BT182" s="94"/>
      <c r="BU182" s="94"/>
    </row>
    <row r="183" spans="62:73" ht="18.75" customHeight="1" x14ac:dyDescent="0.25">
      <c r="BJ183" s="94"/>
      <c r="BK183" s="94"/>
      <c r="BL183" s="94"/>
      <c r="BM183" s="94"/>
      <c r="BN183" s="94"/>
      <c r="BO183" s="94"/>
      <c r="BP183" s="94"/>
      <c r="BQ183" s="94"/>
      <c r="BR183" s="94"/>
      <c r="BS183" s="94"/>
      <c r="BT183" s="94"/>
      <c r="BU183" s="94"/>
    </row>
    <row r="184" spans="62:73" ht="18.75" customHeight="1" x14ac:dyDescent="0.25">
      <c r="BJ184" s="94"/>
      <c r="BK184" s="94"/>
      <c r="BL184" s="94"/>
      <c r="BM184" s="94"/>
      <c r="BN184" s="94"/>
      <c r="BO184" s="94"/>
      <c r="BP184" s="94"/>
      <c r="BQ184" s="94"/>
      <c r="BR184" s="94"/>
      <c r="BS184" s="94"/>
      <c r="BT184" s="94"/>
      <c r="BU184" s="94"/>
    </row>
    <row r="185" spans="62:73" ht="18.75" customHeight="1" x14ac:dyDescent="0.25">
      <c r="BJ185" s="94"/>
      <c r="BK185" s="94"/>
      <c r="BL185" s="94"/>
      <c r="BM185" s="94"/>
      <c r="BN185" s="94"/>
      <c r="BO185" s="94"/>
      <c r="BP185" s="94"/>
      <c r="BQ185" s="94"/>
      <c r="BR185" s="94"/>
      <c r="BS185" s="94"/>
      <c r="BT185" s="94"/>
      <c r="BU185" s="94"/>
    </row>
    <row r="186" spans="62:73" ht="18.75" customHeight="1" x14ac:dyDescent="0.25">
      <c r="BJ186" s="94"/>
      <c r="BK186" s="94"/>
      <c r="BL186" s="94"/>
      <c r="BM186" s="94"/>
      <c r="BN186" s="94"/>
      <c r="BO186" s="94"/>
      <c r="BP186" s="94"/>
      <c r="BQ186" s="94"/>
      <c r="BR186" s="94"/>
      <c r="BS186" s="94"/>
      <c r="BT186" s="94"/>
      <c r="BU186" s="94"/>
    </row>
    <row r="187" spans="62:73" ht="18.75" customHeight="1" x14ac:dyDescent="0.25">
      <c r="BJ187" s="94"/>
      <c r="BK187" s="94"/>
      <c r="BL187" s="94"/>
      <c r="BM187" s="94"/>
      <c r="BN187" s="94"/>
      <c r="BO187" s="94"/>
      <c r="BP187" s="94"/>
      <c r="BQ187" s="94"/>
      <c r="BR187" s="94"/>
      <c r="BS187" s="94"/>
      <c r="BT187" s="94"/>
      <c r="BU187" s="94"/>
    </row>
    <row r="188" spans="62:73" ht="18.75" customHeight="1" x14ac:dyDescent="0.25">
      <c r="BJ188" s="94"/>
      <c r="BK188" s="94"/>
      <c r="BL188" s="94"/>
      <c r="BM188" s="94"/>
      <c r="BN188" s="94"/>
      <c r="BO188" s="94"/>
      <c r="BP188" s="94"/>
      <c r="BQ188" s="94"/>
      <c r="BR188" s="94"/>
      <c r="BS188" s="94"/>
      <c r="BT188" s="94"/>
      <c r="BU188" s="94"/>
    </row>
    <row r="189" spans="62:73" ht="18.75" customHeight="1" x14ac:dyDescent="0.25">
      <c r="BJ189" s="94"/>
      <c r="BK189" s="94"/>
      <c r="BL189" s="94"/>
      <c r="BM189" s="94"/>
      <c r="BN189" s="94"/>
      <c r="BO189" s="94"/>
      <c r="BP189" s="94"/>
      <c r="BQ189" s="94"/>
      <c r="BR189" s="94"/>
      <c r="BS189" s="94"/>
      <c r="BT189" s="94"/>
      <c r="BU189" s="94"/>
    </row>
    <row r="190" spans="62:73" ht="18.75" customHeight="1" x14ac:dyDescent="0.25">
      <c r="BJ190" s="94"/>
      <c r="BK190" s="94"/>
      <c r="BL190" s="94"/>
      <c r="BM190" s="94"/>
      <c r="BN190" s="94"/>
      <c r="BO190" s="94"/>
      <c r="BP190" s="94"/>
      <c r="BQ190" s="94"/>
      <c r="BR190" s="94"/>
      <c r="BS190" s="94"/>
      <c r="BT190" s="94"/>
      <c r="BU190" s="94"/>
    </row>
    <row r="191" spans="62:73" ht="18.75" customHeight="1" x14ac:dyDescent="0.25">
      <c r="BJ191" s="94"/>
      <c r="BK191" s="94"/>
      <c r="BL191" s="94"/>
      <c r="BM191" s="94"/>
      <c r="BN191" s="94"/>
      <c r="BO191" s="94"/>
      <c r="BP191" s="94"/>
      <c r="BQ191" s="94"/>
      <c r="BR191" s="94"/>
      <c r="BS191" s="94"/>
      <c r="BT191" s="94"/>
      <c r="BU191" s="94"/>
    </row>
    <row r="192" spans="62:73" ht="18.75" customHeight="1" x14ac:dyDescent="0.25">
      <c r="BJ192" s="94"/>
      <c r="BK192" s="94"/>
      <c r="BL192" s="94"/>
      <c r="BM192" s="94"/>
      <c r="BN192" s="94"/>
      <c r="BO192" s="94"/>
      <c r="BP192" s="94"/>
      <c r="BQ192" s="94"/>
      <c r="BR192" s="94"/>
      <c r="BS192" s="94"/>
      <c r="BT192" s="94"/>
      <c r="BU192" s="94"/>
    </row>
    <row r="193" spans="62:73" ht="18.75" customHeight="1" x14ac:dyDescent="0.25">
      <c r="BJ193" s="94"/>
      <c r="BK193" s="94"/>
      <c r="BL193" s="94"/>
      <c r="BM193" s="94"/>
      <c r="BN193" s="94"/>
      <c r="BO193" s="94"/>
      <c r="BP193" s="94"/>
      <c r="BQ193" s="94"/>
      <c r="BR193" s="94"/>
      <c r="BS193" s="94"/>
      <c r="BT193" s="94"/>
      <c r="BU193" s="94"/>
    </row>
    <row r="194" spans="62:73" ht="18.75" customHeight="1" x14ac:dyDescent="0.25">
      <c r="BJ194" s="94"/>
      <c r="BK194" s="94"/>
      <c r="BL194" s="94"/>
      <c r="BM194" s="94"/>
      <c r="BN194" s="94"/>
      <c r="BO194" s="94"/>
      <c r="BP194" s="94"/>
      <c r="BQ194" s="94"/>
      <c r="BR194" s="94"/>
      <c r="BS194" s="94"/>
      <c r="BT194" s="94"/>
      <c r="BU194" s="94"/>
    </row>
    <row r="195" spans="62:73" ht="18.75" customHeight="1" x14ac:dyDescent="0.25">
      <c r="BJ195" s="94"/>
      <c r="BK195" s="94"/>
      <c r="BL195" s="94"/>
      <c r="BM195" s="94"/>
      <c r="BN195" s="94"/>
      <c r="BO195" s="94"/>
      <c r="BP195" s="94"/>
      <c r="BQ195" s="94"/>
      <c r="BR195" s="94"/>
      <c r="BS195" s="94"/>
      <c r="BT195" s="94"/>
      <c r="BU195" s="94"/>
    </row>
    <row r="196" spans="62:73" ht="18.75" customHeight="1" x14ac:dyDescent="0.25">
      <c r="BJ196" s="94"/>
      <c r="BK196" s="94"/>
      <c r="BL196" s="94"/>
      <c r="BM196" s="94"/>
      <c r="BN196" s="94"/>
      <c r="BO196" s="94"/>
      <c r="BP196" s="94"/>
      <c r="BQ196" s="94"/>
      <c r="BR196" s="94"/>
      <c r="BS196" s="94"/>
      <c r="BT196" s="94"/>
      <c r="BU196" s="94"/>
    </row>
    <row r="197" spans="62:73" ht="18.75" customHeight="1" x14ac:dyDescent="0.25">
      <c r="BJ197" s="94"/>
      <c r="BK197" s="94"/>
      <c r="BL197" s="94"/>
      <c r="BM197" s="94"/>
      <c r="BN197" s="94"/>
      <c r="BO197" s="94"/>
      <c r="BP197" s="94"/>
      <c r="BQ197" s="94"/>
      <c r="BR197" s="94"/>
      <c r="BS197" s="94"/>
      <c r="BT197" s="94"/>
      <c r="BU197" s="94"/>
    </row>
    <row r="198" spans="62:73" ht="18.75" customHeight="1" x14ac:dyDescent="0.25">
      <c r="BJ198" s="94"/>
      <c r="BK198" s="94"/>
      <c r="BL198" s="94"/>
      <c r="BM198" s="94"/>
      <c r="BN198" s="94"/>
      <c r="BO198" s="94"/>
      <c r="BP198" s="94"/>
      <c r="BQ198" s="94"/>
      <c r="BR198" s="94"/>
      <c r="BS198" s="94"/>
      <c r="BT198" s="94"/>
      <c r="BU198" s="94"/>
    </row>
    <row r="199" spans="62:73" ht="18.75" customHeight="1" x14ac:dyDescent="0.25">
      <c r="BJ199" s="94"/>
      <c r="BK199" s="94"/>
      <c r="BL199" s="94"/>
      <c r="BM199" s="94"/>
      <c r="BN199" s="94"/>
      <c r="BO199" s="94"/>
      <c r="BP199" s="94"/>
      <c r="BQ199" s="94"/>
      <c r="BR199" s="94"/>
      <c r="BS199" s="94"/>
      <c r="BT199" s="94"/>
      <c r="BU199" s="94"/>
    </row>
    <row r="200" spans="62:73" ht="18.75" customHeight="1" x14ac:dyDescent="0.25">
      <c r="BJ200" s="94"/>
      <c r="BK200" s="94"/>
      <c r="BL200" s="94"/>
      <c r="BM200" s="94"/>
      <c r="BN200" s="94"/>
      <c r="BO200" s="94"/>
      <c r="BP200" s="94"/>
      <c r="BQ200" s="94"/>
      <c r="BR200" s="94"/>
      <c r="BS200" s="94"/>
      <c r="BT200" s="94"/>
      <c r="BU200" s="94"/>
    </row>
    <row r="201" spans="62:73" ht="18.75" customHeight="1" x14ac:dyDescent="0.25">
      <c r="BJ201" s="94"/>
      <c r="BK201" s="94"/>
      <c r="BL201" s="94"/>
      <c r="BM201" s="94"/>
      <c r="BN201" s="94"/>
      <c r="BO201" s="94"/>
      <c r="BP201" s="94"/>
      <c r="BQ201" s="94"/>
      <c r="BR201" s="94"/>
      <c r="BS201" s="94"/>
      <c r="BT201" s="94"/>
      <c r="BU201" s="94"/>
    </row>
    <row r="202" spans="62:73" ht="18.75" customHeight="1" x14ac:dyDescent="0.25">
      <c r="BJ202" s="94"/>
      <c r="BK202" s="94"/>
      <c r="BL202" s="94"/>
      <c r="BM202" s="94"/>
      <c r="BN202" s="94"/>
      <c r="BO202" s="94"/>
      <c r="BP202" s="94"/>
      <c r="BQ202" s="94"/>
      <c r="BR202" s="94"/>
      <c r="BS202" s="94"/>
      <c r="BT202" s="94"/>
      <c r="BU202" s="94"/>
    </row>
    <row r="203" spans="62:73" ht="18.75" customHeight="1" x14ac:dyDescent="0.25">
      <c r="BJ203" s="94"/>
      <c r="BK203" s="94"/>
      <c r="BL203" s="94"/>
      <c r="BM203" s="94"/>
      <c r="BN203" s="94"/>
      <c r="BO203" s="94"/>
      <c r="BP203" s="94"/>
      <c r="BQ203" s="94"/>
      <c r="BR203" s="94"/>
      <c r="BS203" s="94"/>
      <c r="BT203" s="94"/>
      <c r="BU203" s="94"/>
    </row>
    <row r="204" spans="62:73" ht="18.75" customHeight="1" x14ac:dyDescent="0.25">
      <c r="BJ204" s="94"/>
      <c r="BK204" s="94"/>
      <c r="BL204" s="94"/>
      <c r="BM204" s="94"/>
      <c r="BN204" s="94"/>
      <c r="BO204" s="94"/>
      <c r="BP204" s="94"/>
      <c r="BQ204" s="94"/>
      <c r="BR204" s="94"/>
      <c r="BS204" s="94"/>
      <c r="BT204" s="94"/>
      <c r="BU204" s="94"/>
    </row>
    <row r="205" spans="62:73" ht="18.75" customHeight="1" x14ac:dyDescent="0.25">
      <c r="BJ205" s="94"/>
      <c r="BK205" s="94"/>
      <c r="BL205" s="94"/>
      <c r="BM205" s="94"/>
      <c r="BN205" s="94"/>
      <c r="BO205" s="94"/>
      <c r="BP205" s="94"/>
      <c r="BQ205" s="94"/>
      <c r="BR205" s="94"/>
      <c r="BS205" s="94"/>
      <c r="BT205" s="94"/>
      <c r="BU205" s="94"/>
    </row>
    <row r="206" spans="62:73" ht="18.75" customHeight="1" x14ac:dyDescent="0.25">
      <c r="BJ206" s="94"/>
      <c r="BK206" s="94"/>
      <c r="BL206" s="94"/>
      <c r="BM206" s="94"/>
      <c r="BN206" s="94"/>
      <c r="BO206" s="94"/>
      <c r="BP206" s="94"/>
      <c r="BQ206" s="94"/>
      <c r="BR206" s="94"/>
      <c r="BS206" s="94"/>
      <c r="BT206" s="94"/>
      <c r="BU206" s="94"/>
    </row>
    <row r="207" spans="62:73" ht="18.75" customHeight="1" x14ac:dyDescent="0.25">
      <c r="BJ207" s="94"/>
      <c r="BK207" s="94"/>
      <c r="BL207" s="94"/>
      <c r="BM207" s="94"/>
      <c r="BN207" s="94"/>
      <c r="BO207" s="94"/>
      <c r="BP207" s="94"/>
      <c r="BQ207" s="94"/>
      <c r="BR207" s="94"/>
      <c r="BS207" s="94"/>
      <c r="BT207" s="94"/>
      <c r="BU207" s="94"/>
    </row>
    <row r="208" spans="62:73" ht="18.75" customHeight="1" x14ac:dyDescent="0.25">
      <c r="BJ208" s="94"/>
      <c r="BK208" s="94"/>
      <c r="BL208" s="94"/>
      <c r="BM208" s="94"/>
      <c r="BN208" s="94"/>
      <c r="BO208" s="94"/>
      <c r="BP208" s="94"/>
      <c r="BQ208" s="94"/>
      <c r="BR208" s="94"/>
      <c r="BS208" s="94"/>
      <c r="BT208" s="94"/>
      <c r="BU208" s="94"/>
    </row>
    <row r="209" spans="62:73" ht="18.75" customHeight="1" x14ac:dyDescent="0.25">
      <c r="BJ209" s="94"/>
      <c r="BK209" s="94"/>
      <c r="BL209" s="94"/>
      <c r="BM209" s="94"/>
      <c r="BN209" s="94"/>
      <c r="BO209" s="94"/>
      <c r="BP209" s="94"/>
      <c r="BQ209" s="94"/>
      <c r="BR209" s="94"/>
      <c r="BS209" s="94"/>
      <c r="BT209" s="94"/>
      <c r="BU209" s="94"/>
    </row>
    <row r="210" spans="62:73" ht="18.75" customHeight="1" x14ac:dyDescent="0.25">
      <c r="BJ210" s="94"/>
      <c r="BK210" s="94"/>
      <c r="BL210" s="94"/>
      <c r="BM210" s="94"/>
      <c r="BN210" s="94"/>
      <c r="BO210" s="94"/>
      <c r="BP210" s="94"/>
      <c r="BQ210" s="94"/>
      <c r="BR210" s="94"/>
      <c r="BS210" s="94"/>
      <c r="BT210" s="94"/>
      <c r="BU210" s="94"/>
    </row>
    <row r="211" spans="62:73" ht="18.75" customHeight="1" x14ac:dyDescent="0.25">
      <c r="BJ211" s="94"/>
      <c r="BK211" s="94"/>
      <c r="BL211" s="94"/>
      <c r="BM211" s="94"/>
      <c r="BN211" s="94"/>
      <c r="BO211" s="94"/>
      <c r="BP211" s="94"/>
      <c r="BQ211" s="94"/>
      <c r="BR211" s="94"/>
      <c r="BS211" s="94"/>
      <c r="BT211" s="94"/>
      <c r="BU211" s="94"/>
    </row>
    <row r="212" spans="62:73" ht="18.75" customHeight="1" x14ac:dyDescent="0.25">
      <c r="BJ212" s="94"/>
      <c r="BK212" s="94"/>
      <c r="BL212" s="94"/>
      <c r="BM212" s="94"/>
      <c r="BN212" s="94"/>
      <c r="BO212" s="94"/>
      <c r="BP212" s="94"/>
      <c r="BQ212" s="94"/>
      <c r="BR212" s="94"/>
      <c r="BS212" s="94"/>
      <c r="BT212" s="94"/>
      <c r="BU212" s="94"/>
    </row>
    <row r="213" spans="62:73" ht="18.75" customHeight="1" x14ac:dyDescent="0.25">
      <c r="BJ213" s="94"/>
      <c r="BK213" s="94"/>
      <c r="BL213" s="94"/>
      <c r="BM213" s="94"/>
      <c r="BN213" s="94"/>
      <c r="BO213" s="94"/>
      <c r="BP213" s="94"/>
      <c r="BQ213" s="94"/>
      <c r="BR213" s="94"/>
      <c r="BS213" s="94"/>
      <c r="BT213" s="94"/>
      <c r="BU213" s="94"/>
    </row>
    <row r="214" spans="62:73" ht="18.75" customHeight="1" x14ac:dyDescent="0.25">
      <c r="BJ214" s="94"/>
      <c r="BK214" s="94"/>
      <c r="BL214" s="94"/>
      <c r="BM214" s="94"/>
      <c r="BN214" s="94"/>
      <c r="BO214" s="94"/>
      <c r="BP214" s="94"/>
      <c r="BQ214" s="94"/>
      <c r="BR214" s="94"/>
      <c r="BS214" s="94"/>
      <c r="BT214" s="94"/>
      <c r="BU214" s="94"/>
    </row>
    <row r="215" spans="62:73" ht="18.75" customHeight="1" x14ac:dyDescent="0.25">
      <c r="BJ215" s="94"/>
      <c r="BK215" s="94"/>
      <c r="BL215" s="94"/>
      <c r="BM215" s="94"/>
      <c r="BN215" s="94"/>
      <c r="BO215" s="94"/>
      <c r="BP215" s="94"/>
      <c r="BQ215" s="94"/>
      <c r="BR215" s="94"/>
      <c r="BS215" s="94"/>
      <c r="BT215" s="94"/>
      <c r="BU215" s="94"/>
    </row>
    <row r="216" spans="62:73" ht="18.75" customHeight="1" x14ac:dyDescent="0.25">
      <c r="BJ216" s="94"/>
      <c r="BK216" s="94"/>
      <c r="BL216" s="94"/>
      <c r="BM216" s="94"/>
      <c r="BN216" s="94"/>
      <c r="BO216" s="94"/>
      <c r="BP216" s="94"/>
      <c r="BQ216" s="94"/>
      <c r="BR216" s="94"/>
      <c r="BS216" s="94"/>
      <c r="BT216" s="94"/>
      <c r="BU216" s="94"/>
    </row>
    <row r="217" spans="62:73" ht="18.75" customHeight="1" x14ac:dyDescent="0.25">
      <c r="BJ217" s="94"/>
      <c r="BK217" s="94"/>
      <c r="BL217" s="94"/>
      <c r="BM217" s="94"/>
      <c r="BN217" s="94"/>
      <c r="BO217" s="94"/>
      <c r="BP217" s="94"/>
      <c r="BQ217" s="94"/>
      <c r="BR217" s="94"/>
      <c r="BS217" s="94"/>
      <c r="BT217" s="94"/>
      <c r="BU217" s="94"/>
    </row>
    <row r="218" spans="62:73" ht="18.75" customHeight="1" x14ac:dyDescent="0.25">
      <c r="BJ218" s="94"/>
      <c r="BK218" s="94"/>
      <c r="BL218" s="94"/>
      <c r="BM218" s="94"/>
      <c r="BN218" s="94"/>
      <c r="BO218" s="94"/>
      <c r="BP218" s="94"/>
      <c r="BQ218" s="94"/>
      <c r="BR218" s="94"/>
      <c r="BS218" s="94"/>
      <c r="BT218" s="94"/>
      <c r="BU218" s="94"/>
    </row>
    <row r="219" spans="62:73" ht="18.75" customHeight="1" x14ac:dyDescent="0.25">
      <c r="BJ219" s="94"/>
      <c r="BK219" s="94"/>
      <c r="BL219" s="94"/>
      <c r="BM219" s="94"/>
      <c r="BN219" s="94"/>
      <c r="BO219" s="94"/>
      <c r="BP219" s="94"/>
      <c r="BQ219" s="94"/>
      <c r="BR219" s="94"/>
      <c r="BS219" s="94"/>
      <c r="BT219" s="94"/>
      <c r="BU219" s="94"/>
    </row>
    <row r="220" spans="62:73" ht="18.75" customHeight="1" x14ac:dyDescent="0.25">
      <c r="BJ220" s="94"/>
      <c r="BK220" s="94"/>
      <c r="BL220" s="94"/>
      <c r="BM220" s="94"/>
      <c r="BN220" s="94"/>
      <c r="BO220" s="94"/>
      <c r="BP220" s="94"/>
      <c r="BQ220" s="94"/>
      <c r="BR220" s="94"/>
      <c r="BS220" s="94"/>
      <c r="BT220" s="94"/>
      <c r="BU220" s="94"/>
    </row>
    <row r="221" spans="62:73" ht="18.75" customHeight="1" x14ac:dyDescent="0.25">
      <c r="BJ221" s="94"/>
      <c r="BK221" s="94"/>
      <c r="BL221" s="94"/>
      <c r="BM221" s="94"/>
      <c r="BN221" s="94"/>
      <c r="BO221" s="94"/>
      <c r="BP221" s="94"/>
      <c r="BQ221" s="94"/>
      <c r="BR221" s="94"/>
      <c r="BS221" s="94"/>
      <c r="BT221" s="94"/>
      <c r="BU221" s="94"/>
    </row>
    <row r="222" spans="62:73" ht="18.75" customHeight="1" x14ac:dyDescent="0.25">
      <c r="BJ222" s="94"/>
      <c r="BK222" s="94"/>
      <c r="BL222" s="94"/>
      <c r="BM222" s="94"/>
      <c r="BN222" s="94"/>
      <c r="BO222" s="94"/>
      <c r="BP222" s="94"/>
      <c r="BQ222" s="94"/>
      <c r="BR222" s="94"/>
      <c r="BS222" s="94"/>
      <c r="BT222" s="94"/>
      <c r="BU222" s="94"/>
    </row>
    <row r="223" spans="62:73" ht="18.75" customHeight="1" x14ac:dyDescent="0.25">
      <c r="BJ223" s="94"/>
      <c r="BK223" s="94"/>
      <c r="BL223" s="94"/>
      <c r="BM223" s="94"/>
      <c r="BN223" s="94"/>
      <c r="BO223" s="94"/>
      <c r="BP223" s="94"/>
      <c r="BQ223" s="94"/>
      <c r="BR223" s="94"/>
      <c r="BS223" s="94"/>
      <c r="BT223" s="94"/>
      <c r="BU223" s="94"/>
    </row>
    <row r="224" spans="62:73" ht="18.75" customHeight="1" x14ac:dyDescent="0.25">
      <c r="BJ224" s="94"/>
      <c r="BK224" s="94"/>
      <c r="BL224" s="94"/>
      <c r="BM224" s="94"/>
      <c r="BN224" s="94"/>
      <c r="BO224" s="94"/>
      <c r="BP224" s="94"/>
      <c r="BQ224" s="94"/>
      <c r="BR224" s="94"/>
      <c r="BS224" s="94"/>
      <c r="BT224" s="94"/>
      <c r="BU224" s="94"/>
    </row>
    <row r="225" spans="62:73" ht="18.75" customHeight="1" x14ac:dyDescent="0.25">
      <c r="BJ225" s="94"/>
      <c r="BK225" s="94"/>
      <c r="BL225" s="94"/>
      <c r="BM225" s="94"/>
      <c r="BN225" s="94"/>
      <c r="BO225" s="94"/>
      <c r="BP225" s="94"/>
      <c r="BQ225" s="94"/>
      <c r="BR225" s="94"/>
      <c r="BS225" s="94"/>
      <c r="BT225" s="94"/>
      <c r="BU225" s="94"/>
    </row>
    <row r="226" spans="62:73" ht="18.75" customHeight="1" x14ac:dyDescent="0.25">
      <c r="BJ226" s="94"/>
      <c r="BK226" s="94"/>
      <c r="BL226" s="94"/>
      <c r="BM226" s="94"/>
      <c r="BN226" s="94"/>
      <c r="BO226" s="94"/>
      <c r="BP226" s="94"/>
      <c r="BQ226" s="94"/>
      <c r="BR226" s="94"/>
      <c r="BS226" s="94"/>
      <c r="BT226" s="94"/>
      <c r="BU226" s="94"/>
    </row>
    <row r="227" spans="62:73" ht="18.75" customHeight="1" x14ac:dyDescent="0.25">
      <c r="BJ227" s="94"/>
      <c r="BK227" s="94"/>
      <c r="BL227" s="94"/>
      <c r="BM227" s="94"/>
      <c r="BN227" s="94"/>
      <c r="BO227" s="94"/>
      <c r="BP227" s="94"/>
      <c r="BQ227" s="94"/>
      <c r="BR227" s="94"/>
      <c r="BS227" s="94"/>
      <c r="BT227" s="94"/>
      <c r="BU227" s="94"/>
    </row>
    <row r="228" spans="62:73" ht="18.75" customHeight="1" x14ac:dyDescent="0.25">
      <c r="BJ228" s="94"/>
      <c r="BK228" s="94"/>
      <c r="BL228" s="94"/>
      <c r="BM228" s="94"/>
      <c r="BN228" s="94"/>
      <c r="BO228" s="94"/>
      <c r="BP228" s="94"/>
      <c r="BQ228" s="94"/>
      <c r="BR228" s="94"/>
      <c r="BS228" s="94"/>
      <c r="BT228" s="94"/>
      <c r="BU228" s="94"/>
    </row>
    <row r="229" spans="62:73" ht="18.75" customHeight="1" x14ac:dyDescent="0.25">
      <c r="BJ229" s="94"/>
      <c r="BK229" s="94"/>
      <c r="BL229" s="94"/>
      <c r="BM229" s="94"/>
      <c r="BN229" s="94"/>
      <c r="BO229" s="94"/>
      <c r="BP229" s="94"/>
      <c r="BQ229" s="94"/>
      <c r="BR229" s="94"/>
      <c r="BS229" s="94"/>
      <c r="BT229" s="94"/>
      <c r="BU229" s="94"/>
    </row>
    <row r="230" spans="62:73" ht="18.75" customHeight="1" x14ac:dyDescent="0.25">
      <c r="BJ230" s="94"/>
      <c r="BK230" s="94"/>
      <c r="BL230" s="94"/>
      <c r="BM230" s="94"/>
      <c r="BN230" s="94"/>
      <c r="BO230" s="94"/>
      <c r="BP230" s="94"/>
      <c r="BQ230" s="94"/>
      <c r="BR230" s="94"/>
      <c r="BS230" s="94"/>
      <c r="BT230" s="94"/>
      <c r="BU230" s="94"/>
    </row>
    <row r="231" spans="62:73" ht="18.75" customHeight="1" x14ac:dyDescent="0.25">
      <c r="BJ231" s="94"/>
      <c r="BK231" s="94"/>
      <c r="BL231" s="94"/>
      <c r="BM231" s="94"/>
      <c r="BN231" s="94"/>
      <c r="BO231" s="94"/>
      <c r="BP231" s="94"/>
      <c r="BQ231" s="94"/>
      <c r="BR231" s="94"/>
      <c r="BS231" s="94"/>
      <c r="BT231" s="94"/>
      <c r="BU231" s="94"/>
    </row>
    <row r="232" spans="62:73" ht="18.75" customHeight="1" x14ac:dyDescent="0.25">
      <c r="BJ232" s="94"/>
      <c r="BK232" s="94"/>
      <c r="BL232" s="94"/>
      <c r="BM232" s="94"/>
      <c r="BN232" s="94"/>
      <c r="BO232" s="94"/>
      <c r="BP232" s="94"/>
      <c r="BQ232" s="94"/>
      <c r="BR232" s="94"/>
      <c r="BS232" s="94"/>
      <c r="BT232" s="94"/>
      <c r="BU232" s="94"/>
    </row>
    <row r="233" spans="62:73" ht="18.75" customHeight="1" x14ac:dyDescent="0.25">
      <c r="BJ233" s="94"/>
      <c r="BK233" s="94"/>
      <c r="BL233" s="94"/>
      <c r="BM233" s="94"/>
      <c r="BN233" s="94"/>
      <c r="BO233" s="94"/>
      <c r="BP233" s="94"/>
      <c r="BQ233" s="94"/>
      <c r="BR233" s="94"/>
      <c r="BS233" s="94"/>
      <c r="BT233" s="94"/>
      <c r="BU233" s="94"/>
    </row>
    <row r="234" spans="62:73" ht="18.75" customHeight="1" x14ac:dyDescent="0.25">
      <c r="BJ234" s="94"/>
      <c r="BK234" s="94"/>
      <c r="BL234" s="94"/>
      <c r="BM234" s="94"/>
      <c r="BN234" s="94"/>
      <c r="BO234" s="94"/>
      <c r="BP234" s="94"/>
      <c r="BQ234" s="94"/>
      <c r="BR234" s="94"/>
      <c r="BS234" s="94"/>
      <c r="BT234" s="94"/>
      <c r="BU234" s="94"/>
    </row>
    <row r="235" spans="62:73" ht="18.75" customHeight="1" x14ac:dyDescent="0.25">
      <c r="BJ235" s="94"/>
      <c r="BK235" s="94"/>
      <c r="BL235" s="94"/>
      <c r="BM235" s="94"/>
      <c r="BN235" s="94"/>
      <c r="BO235" s="94"/>
      <c r="BP235" s="94"/>
      <c r="BQ235" s="94"/>
      <c r="BR235" s="94"/>
      <c r="BS235" s="94"/>
      <c r="BT235" s="94"/>
      <c r="BU235" s="94"/>
    </row>
    <row r="236" spans="62:73" ht="18.75" customHeight="1" x14ac:dyDescent="0.25">
      <c r="BJ236" s="94"/>
      <c r="BK236" s="94"/>
      <c r="BL236" s="94"/>
      <c r="BM236" s="94"/>
      <c r="BN236" s="94"/>
      <c r="BO236" s="94"/>
      <c r="BP236" s="94"/>
      <c r="BQ236" s="94"/>
      <c r="BR236" s="94"/>
      <c r="BS236" s="94"/>
      <c r="BT236" s="94"/>
      <c r="BU236" s="94"/>
    </row>
    <row r="237" spans="62:73" ht="18.75" customHeight="1" x14ac:dyDescent="0.25">
      <c r="BJ237" s="94"/>
      <c r="BK237" s="94"/>
      <c r="BL237" s="94"/>
      <c r="BM237" s="94"/>
      <c r="BN237" s="94"/>
      <c r="BO237" s="94"/>
      <c r="BP237" s="94"/>
      <c r="BQ237" s="94"/>
      <c r="BR237" s="94"/>
      <c r="BS237" s="94"/>
      <c r="BT237" s="94"/>
      <c r="BU237" s="94"/>
    </row>
    <row r="238" spans="62:73" ht="18.75" customHeight="1" x14ac:dyDescent="0.25">
      <c r="BJ238" s="94"/>
      <c r="BK238" s="94"/>
      <c r="BL238" s="94"/>
      <c r="BM238" s="94"/>
      <c r="BN238" s="94"/>
      <c r="BO238" s="94"/>
      <c r="BP238" s="94"/>
      <c r="BQ238" s="94"/>
      <c r="BR238" s="94"/>
      <c r="BS238" s="94"/>
      <c r="BT238" s="94"/>
      <c r="BU238" s="94"/>
    </row>
    <row r="239" spans="62:73" ht="18.75" customHeight="1" x14ac:dyDescent="0.25">
      <c r="BJ239" s="94"/>
      <c r="BK239" s="94"/>
      <c r="BL239" s="94"/>
      <c r="BM239" s="94"/>
      <c r="BN239" s="94"/>
      <c r="BO239" s="94"/>
      <c r="BP239" s="94"/>
      <c r="BQ239" s="94"/>
      <c r="BR239" s="94"/>
      <c r="BS239" s="94"/>
      <c r="BT239" s="94"/>
      <c r="BU239" s="94"/>
    </row>
    <row r="240" spans="62:73" ht="18.75" customHeight="1" x14ac:dyDescent="0.25">
      <c r="BJ240" s="94"/>
      <c r="BK240" s="94"/>
      <c r="BL240" s="94"/>
      <c r="BM240" s="94"/>
      <c r="BN240" s="94"/>
      <c r="BO240" s="94"/>
      <c r="BP240" s="94"/>
      <c r="BQ240" s="94"/>
      <c r="BR240" s="94"/>
      <c r="BS240" s="94"/>
      <c r="BT240" s="94"/>
      <c r="BU240" s="94"/>
    </row>
    <row r="241" spans="62:73" ht="18.75" customHeight="1" x14ac:dyDescent="0.25">
      <c r="BJ241" s="94"/>
      <c r="BK241" s="94"/>
      <c r="BL241" s="94"/>
      <c r="BM241" s="94"/>
      <c r="BN241" s="94"/>
      <c r="BO241" s="94"/>
      <c r="BP241" s="94"/>
      <c r="BQ241" s="94"/>
      <c r="BR241" s="94"/>
      <c r="BS241" s="94"/>
      <c r="BT241" s="94"/>
      <c r="BU241" s="94"/>
    </row>
    <row r="242" spans="62:73" ht="18.75" customHeight="1" x14ac:dyDescent="0.25">
      <c r="BJ242" s="94"/>
      <c r="BK242" s="94"/>
      <c r="BL242" s="94"/>
      <c r="BM242" s="94"/>
      <c r="BN242" s="94"/>
      <c r="BO242" s="94"/>
      <c r="BP242" s="94"/>
      <c r="BQ242" s="94"/>
      <c r="BR242" s="94"/>
      <c r="BS242" s="94"/>
      <c r="BT242" s="94"/>
      <c r="BU242" s="94"/>
    </row>
    <row r="243" spans="62:73" ht="18.75" customHeight="1" x14ac:dyDescent="0.25">
      <c r="BJ243" s="94"/>
      <c r="BK243" s="94"/>
      <c r="BL243" s="94"/>
      <c r="BM243" s="94"/>
      <c r="BN243" s="94"/>
      <c r="BO243" s="94"/>
      <c r="BP243" s="94"/>
      <c r="BQ243" s="94"/>
      <c r="BR243" s="94"/>
      <c r="BS243" s="94"/>
      <c r="BT243" s="94"/>
      <c r="BU243" s="94"/>
    </row>
    <row r="244" spans="62:73" ht="18.75" customHeight="1" x14ac:dyDescent="0.25">
      <c r="BJ244" s="94"/>
      <c r="BK244" s="94"/>
      <c r="BL244" s="94"/>
      <c r="BM244" s="94"/>
      <c r="BN244" s="94"/>
      <c r="BO244" s="94"/>
      <c r="BP244" s="94"/>
      <c r="BQ244" s="94"/>
      <c r="BR244" s="94"/>
      <c r="BS244" s="94"/>
      <c r="BT244" s="94"/>
      <c r="BU244" s="94"/>
    </row>
    <row r="245" spans="62:73" ht="18.75" customHeight="1" x14ac:dyDescent="0.25">
      <c r="BJ245" s="94"/>
      <c r="BK245" s="94"/>
      <c r="BL245" s="94"/>
      <c r="BM245" s="94"/>
      <c r="BN245" s="94"/>
      <c r="BO245" s="94"/>
      <c r="BP245" s="94"/>
      <c r="BQ245" s="94"/>
      <c r="BR245" s="94"/>
      <c r="BS245" s="94"/>
      <c r="BT245" s="94"/>
      <c r="BU245" s="94"/>
    </row>
    <row r="246" spans="62:73" ht="18.75" customHeight="1" x14ac:dyDescent="0.25">
      <c r="BJ246" s="94"/>
      <c r="BK246" s="94"/>
      <c r="BL246" s="94"/>
      <c r="BM246" s="94"/>
      <c r="BN246" s="94"/>
      <c r="BO246" s="94"/>
      <c r="BP246" s="94"/>
      <c r="BQ246" s="94"/>
      <c r="BR246" s="94"/>
      <c r="BS246" s="94"/>
      <c r="BT246" s="94"/>
      <c r="BU246" s="94"/>
    </row>
    <row r="247" spans="62:73" ht="18.75" customHeight="1" x14ac:dyDescent="0.25">
      <c r="BJ247" s="94"/>
      <c r="BK247" s="94"/>
      <c r="BL247" s="94"/>
      <c r="BM247" s="94"/>
      <c r="BN247" s="94"/>
      <c r="BO247" s="94"/>
      <c r="BP247" s="94"/>
      <c r="BQ247" s="94"/>
      <c r="BR247" s="94"/>
      <c r="BS247" s="94"/>
      <c r="BT247" s="94"/>
      <c r="BU247" s="94"/>
    </row>
    <row r="248" spans="62:73" ht="18.75" customHeight="1" x14ac:dyDescent="0.25">
      <c r="BJ248" s="94"/>
      <c r="BK248" s="94"/>
      <c r="BL248" s="94"/>
      <c r="BM248" s="94"/>
      <c r="BN248" s="94"/>
      <c r="BO248" s="94"/>
      <c r="BP248" s="94"/>
      <c r="BQ248" s="94"/>
      <c r="BR248" s="94"/>
      <c r="BS248" s="94"/>
      <c r="BT248" s="94"/>
      <c r="BU248" s="94"/>
    </row>
    <row r="249" spans="62:73" ht="18.75" customHeight="1" x14ac:dyDescent="0.25">
      <c r="BJ249" s="94"/>
      <c r="BK249" s="94"/>
      <c r="BL249" s="94"/>
      <c r="BM249" s="94"/>
      <c r="BN249" s="94"/>
      <c r="BO249" s="94"/>
      <c r="BP249" s="94"/>
      <c r="BQ249" s="94"/>
      <c r="BR249" s="94"/>
      <c r="BS249" s="94"/>
      <c r="BT249" s="94"/>
      <c r="BU249" s="94"/>
    </row>
    <row r="250" spans="62:73" ht="18.75" customHeight="1" x14ac:dyDescent="0.25">
      <c r="BJ250" s="94"/>
      <c r="BK250" s="94"/>
      <c r="BL250" s="94"/>
      <c r="BM250" s="94"/>
      <c r="BN250" s="94"/>
      <c r="BO250" s="94"/>
      <c r="BP250" s="94"/>
      <c r="BQ250" s="94"/>
      <c r="BR250" s="94"/>
      <c r="BS250" s="94"/>
      <c r="BT250" s="94"/>
      <c r="BU250" s="94"/>
    </row>
    <row r="251" spans="62:73" ht="18.75" customHeight="1" x14ac:dyDescent="0.25">
      <c r="BJ251" s="94"/>
      <c r="BK251" s="94"/>
      <c r="BL251" s="94"/>
      <c r="BM251" s="94"/>
      <c r="BN251" s="94"/>
      <c r="BO251" s="94"/>
      <c r="BP251" s="94"/>
      <c r="BQ251" s="94"/>
      <c r="BR251" s="94"/>
      <c r="BS251" s="94"/>
      <c r="BT251" s="94"/>
      <c r="BU251" s="94"/>
    </row>
    <row r="252" spans="62:73" ht="18.75" customHeight="1" x14ac:dyDescent="0.25">
      <c r="BJ252" s="94"/>
      <c r="BK252" s="94"/>
      <c r="BL252" s="94"/>
      <c r="BM252" s="94"/>
      <c r="BN252" s="94"/>
      <c r="BO252" s="94"/>
      <c r="BP252" s="94"/>
      <c r="BQ252" s="94"/>
      <c r="BR252" s="94"/>
      <c r="BS252" s="94"/>
      <c r="BT252" s="94"/>
      <c r="BU252" s="94"/>
    </row>
    <row r="253" spans="62:73" ht="18.75" customHeight="1" x14ac:dyDescent="0.25">
      <c r="BJ253" s="94"/>
      <c r="BK253" s="94"/>
      <c r="BL253" s="94"/>
      <c r="BM253" s="94"/>
      <c r="BN253" s="94"/>
      <c r="BO253" s="94"/>
      <c r="BP253" s="94"/>
      <c r="BQ253" s="94"/>
      <c r="BR253" s="94"/>
      <c r="BS253" s="94"/>
      <c r="BT253" s="94"/>
      <c r="BU253" s="94"/>
    </row>
    <row r="254" spans="62:73" ht="18.75" customHeight="1" x14ac:dyDescent="0.25">
      <c r="BJ254" s="94"/>
      <c r="BK254" s="94"/>
      <c r="BL254" s="94"/>
      <c r="BM254" s="94"/>
      <c r="BN254" s="94"/>
      <c r="BO254" s="94"/>
      <c r="BP254" s="94"/>
      <c r="BQ254" s="94"/>
      <c r="BR254" s="94"/>
      <c r="BS254" s="94"/>
      <c r="BT254" s="94"/>
      <c r="BU254" s="94"/>
    </row>
    <row r="255" spans="62:73" ht="18.75" customHeight="1" x14ac:dyDescent="0.25">
      <c r="BJ255" s="94"/>
      <c r="BK255" s="94"/>
      <c r="BL255" s="94"/>
      <c r="BM255" s="94"/>
      <c r="BN255" s="94"/>
      <c r="BO255" s="94"/>
      <c r="BP255" s="94"/>
      <c r="BQ255" s="94"/>
      <c r="BR255" s="94"/>
      <c r="BS255" s="94"/>
      <c r="BT255" s="94"/>
      <c r="BU255" s="94"/>
    </row>
    <row r="256" spans="62:73" ht="18.75" customHeight="1" x14ac:dyDescent="0.25">
      <c r="BJ256" s="94"/>
      <c r="BK256" s="94"/>
      <c r="BL256" s="94"/>
      <c r="BM256" s="94"/>
      <c r="BN256" s="94"/>
      <c r="BO256" s="94"/>
      <c r="BP256" s="94"/>
      <c r="BQ256" s="94"/>
      <c r="BR256" s="94"/>
      <c r="BS256" s="94"/>
      <c r="BT256" s="94"/>
      <c r="BU256" s="94"/>
    </row>
    <row r="257" spans="62:73" ht="18.75" customHeight="1" x14ac:dyDescent="0.25">
      <c r="BJ257" s="94"/>
      <c r="BK257" s="94"/>
      <c r="BL257" s="94"/>
      <c r="BM257" s="94"/>
      <c r="BN257" s="94"/>
      <c r="BO257" s="94"/>
      <c r="BP257" s="94"/>
      <c r="BQ257" s="94"/>
      <c r="BR257" s="94"/>
      <c r="BS257" s="94"/>
      <c r="BT257" s="94"/>
      <c r="BU257" s="94"/>
    </row>
    <row r="258" spans="62:73" ht="18.75" customHeight="1" x14ac:dyDescent="0.25">
      <c r="BJ258" s="94"/>
      <c r="BK258" s="94"/>
      <c r="BL258" s="94"/>
      <c r="BM258" s="94"/>
      <c r="BN258" s="94"/>
      <c r="BO258" s="94"/>
      <c r="BP258" s="94"/>
      <c r="BQ258" s="94"/>
      <c r="BR258" s="94"/>
      <c r="BS258" s="94"/>
      <c r="BT258" s="94"/>
      <c r="BU258" s="94"/>
    </row>
    <row r="259" spans="62:73" ht="18.75" customHeight="1" x14ac:dyDescent="0.25">
      <c r="BJ259" s="94"/>
      <c r="BK259" s="94"/>
      <c r="BL259" s="94"/>
      <c r="BM259" s="94"/>
      <c r="BN259" s="94"/>
      <c r="BO259" s="94"/>
      <c r="BP259" s="94"/>
      <c r="BQ259" s="94"/>
      <c r="BR259" s="94"/>
      <c r="BS259" s="94"/>
      <c r="BT259" s="94"/>
      <c r="BU259" s="94"/>
    </row>
    <row r="260" spans="62:73" ht="18.75" customHeight="1" x14ac:dyDescent="0.25">
      <c r="BJ260" s="94"/>
      <c r="BK260" s="94"/>
      <c r="BL260" s="94"/>
      <c r="BM260" s="94"/>
      <c r="BN260" s="94"/>
      <c r="BO260" s="94"/>
      <c r="BP260" s="94"/>
      <c r="BQ260" s="94"/>
      <c r="BR260" s="94"/>
      <c r="BS260" s="94"/>
      <c r="BT260" s="94"/>
      <c r="BU260" s="94"/>
    </row>
    <row r="261" spans="62:73" ht="18.75" customHeight="1" x14ac:dyDescent="0.25">
      <c r="BJ261" s="94"/>
      <c r="BK261" s="94"/>
      <c r="BL261" s="94"/>
      <c r="BM261" s="94"/>
      <c r="BN261" s="94"/>
      <c r="BO261" s="94"/>
      <c r="BP261" s="94"/>
      <c r="BQ261" s="94"/>
      <c r="BR261" s="94"/>
      <c r="BS261" s="94"/>
      <c r="BT261" s="94"/>
      <c r="BU261" s="94"/>
    </row>
    <row r="262" spans="62:73" ht="18.75" customHeight="1" x14ac:dyDescent="0.25">
      <c r="BJ262" s="94"/>
      <c r="BK262" s="94"/>
      <c r="BL262" s="94"/>
      <c r="BM262" s="94"/>
      <c r="BN262" s="94"/>
      <c r="BO262" s="94"/>
      <c r="BP262" s="94"/>
      <c r="BQ262" s="94"/>
      <c r="BR262" s="94"/>
      <c r="BS262" s="94"/>
      <c r="BT262" s="94"/>
      <c r="BU262" s="94"/>
    </row>
    <row r="263" spans="62:73" ht="18.75" customHeight="1" x14ac:dyDescent="0.25">
      <c r="BJ263" s="94"/>
      <c r="BK263" s="94"/>
      <c r="BL263" s="94"/>
      <c r="BM263" s="94"/>
      <c r="BN263" s="94"/>
      <c r="BO263" s="94"/>
      <c r="BP263" s="94"/>
      <c r="BQ263" s="94"/>
      <c r="BR263" s="94"/>
      <c r="BS263" s="94"/>
      <c r="BT263" s="94"/>
      <c r="BU263" s="94"/>
    </row>
    <row r="264" spans="62:73" ht="18.75" customHeight="1" x14ac:dyDescent="0.25">
      <c r="BJ264" s="94"/>
      <c r="BK264" s="94"/>
      <c r="BL264" s="94"/>
      <c r="BM264" s="94"/>
      <c r="BN264" s="94"/>
      <c r="BO264" s="94"/>
      <c r="BP264" s="94"/>
      <c r="BQ264" s="94"/>
      <c r="BR264" s="94"/>
      <c r="BS264" s="94"/>
      <c r="BT264" s="94"/>
      <c r="BU264" s="94"/>
    </row>
    <row r="265" spans="62:73" ht="18.75" customHeight="1" x14ac:dyDescent="0.25">
      <c r="BJ265" s="94"/>
      <c r="BK265" s="94"/>
      <c r="BL265" s="94"/>
      <c r="BM265" s="94"/>
      <c r="BN265" s="94"/>
      <c r="BO265" s="94"/>
      <c r="BP265" s="94"/>
      <c r="BQ265" s="94"/>
      <c r="BR265" s="94"/>
      <c r="BS265" s="94"/>
      <c r="BT265" s="94"/>
      <c r="BU265" s="94"/>
    </row>
    <row r="266" spans="62:73" ht="18.75" customHeight="1" x14ac:dyDescent="0.25">
      <c r="BJ266" s="94"/>
      <c r="BK266" s="94"/>
      <c r="BL266" s="94"/>
      <c r="BM266" s="94"/>
      <c r="BN266" s="94"/>
      <c r="BO266" s="94"/>
      <c r="BP266" s="94"/>
      <c r="BQ266" s="94"/>
      <c r="BR266" s="94"/>
      <c r="BS266" s="94"/>
      <c r="BT266" s="94"/>
      <c r="BU266" s="94"/>
    </row>
    <row r="267" spans="62:73" ht="18.75" customHeight="1" x14ac:dyDescent="0.25">
      <c r="BJ267" s="94"/>
      <c r="BK267" s="94"/>
      <c r="BL267" s="94"/>
      <c r="BM267" s="94"/>
      <c r="BN267" s="94"/>
      <c r="BO267" s="94"/>
      <c r="BP267" s="94"/>
      <c r="BQ267" s="94"/>
      <c r="BR267" s="94"/>
      <c r="BS267" s="94"/>
      <c r="BT267" s="94"/>
      <c r="BU267" s="94"/>
    </row>
    <row r="268" spans="62:73" ht="18.75" customHeight="1" x14ac:dyDescent="0.25">
      <c r="BJ268" s="94"/>
      <c r="BK268" s="94"/>
      <c r="BL268" s="94"/>
      <c r="BM268" s="94"/>
      <c r="BN268" s="94"/>
      <c r="BO268" s="94"/>
      <c r="BP268" s="94"/>
      <c r="BQ268" s="94"/>
      <c r="BR268" s="94"/>
      <c r="BS268" s="94"/>
      <c r="BT268" s="94"/>
      <c r="BU268" s="94"/>
    </row>
    <row r="269" spans="62:73" ht="18.75" customHeight="1" x14ac:dyDescent="0.25">
      <c r="BJ269" s="94"/>
      <c r="BK269" s="94"/>
      <c r="BL269" s="94"/>
      <c r="BM269" s="94"/>
      <c r="BN269" s="94"/>
      <c r="BO269" s="94"/>
      <c r="BP269" s="94"/>
      <c r="BQ269" s="94"/>
      <c r="BR269" s="94"/>
      <c r="BS269" s="94"/>
      <c r="BT269" s="94"/>
      <c r="BU269" s="94"/>
    </row>
    <row r="270" spans="62:73" ht="18.75" customHeight="1" x14ac:dyDescent="0.25">
      <c r="BJ270" s="94"/>
      <c r="BK270" s="94"/>
      <c r="BL270" s="94"/>
      <c r="BM270" s="94"/>
      <c r="BN270" s="94"/>
      <c r="BO270" s="94"/>
      <c r="BP270" s="94"/>
      <c r="BQ270" s="94"/>
      <c r="BR270" s="94"/>
      <c r="BS270" s="94"/>
      <c r="BT270" s="94"/>
      <c r="BU270" s="94"/>
    </row>
    <row r="271" spans="62:73" ht="18.75" customHeight="1" x14ac:dyDescent="0.25">
      <c r="BJ271" s="94"/>
      <c r="BK271" s="94"/>
      <c r="BL271" s="94"/>
      <c r="BM271" s="94"/>
      <c r="BN271" s="94"/>
      <c r="BO271" s="94"/>
      <c r="BP271" s="94"/>
      <c r="BQ271" s="94"/>
      <c r="BR271" s="94"/>
      <c r="BS271" s="94"/>
      <c r="BT271" s="94"/>
      <c r="BU271" s="94"/>
    </row>
    <row r="272" spans="62:73" ht="18.75" customHeight="1" x14ac:dyDescent="0.25">
      <c r="BJ272" s="94"/>
      <c r="BK272" s="94"/>
      <c r="BL272" s="94"/>
      <c r="BM272" s="94"/>
      <c r="BN272" s="94"/>
      <c r="BO272" s="94"/>
      <c r="BP272" s="94"/>
      <c r="BQ272" s="94"/>
      <c r="BR272" s="94"/>
      <c r="BS272" s="94"/>
      <c r="BT272" s="94"/>
      <c r="BU272" s="94"/>
    </row>
    <row r="273" spans="62:73" ht="18.75" customHeight="1" x14ac:dyDescent="0.25">
      <c r="BJ273" s="94"/>
      <c r="BK273" s="94"/>
      <c r="BL273" s="94"/>
      <c r="BM273" s="94"/>
      <c r="BN273" s="94"/>
      <c r="BO273" s="94"/>
      <c r="BP273" s="94"/>
      <c r="BQ273" s="94"/>
      <c r="BR273" s="94"/>
      <c r="BS273" s="94"/>
      <c r="BT273" s="94"/>
      <c r="BU273" s="94"/>
    </row>
    <row r="274" spans="62:73" ht="18.75" customHeight="1" x14ac:dyDescent="0.25">
      <c r="BJ274" s="94"/>
      <c r="BK274" s="94"/>
      <c r="BL274" s="94"/>
      <c r="BM274" s="94"/>
      <c r="BN274" s="94"/>
      <c r="BO274" s="94"/>
      <c r="BP274" s="94"/>
      <c r="BQ274" s="94"/>
      <c r="BR274" s="94"/>
      <c r="BS274" s="94"/>
      <c r="BT274" s="94"/>
      <c r="BU274" s="94"/>
    </row>
    <row r="275" spans="62:73" ht="18.75" customHeight="1" x14ac:dyDescent="0.25">
      <c r="BJ275" s="94"/>
      <c r="BK275" s="94"/>
      <c r="BL275" s="94"/>
      <c r="BM275" s="94"/>
      <c r="BN275" s="94"/>
      <c r="BO275" s="94"/>
      <c r="BP275" s="94"/>
      <c r="BQ275" s="94"/>
      <c r="BR275" s="94"/>
      <c r="BS275" s="94"/>
      <c r="BT275" s="94"/>
      <c r="BU275" s="94"/>
    </row>
    <row r="276" spans="62:73" ht="18.75" customHeight="1" x14ac:dyDescent="0.25">
      <c r="BJ276" s="94"/>
      <c r="BK276" s="94"/>
      <c r="BL276" s="94"/>
      <c r="BM276" s="94"/>
      <c r="BN276" s="94"/>
      <c r="BO276" s="94"/>
      <c r="BP276" s="94"/>
      <c r="BQ276" s="94"/>
      <c r="BR276" s="94"/>
      <c r="BS276" s="94"/>
      <c r="BT276" s="94"/>
      <c r="BU276" s="94"/>
    </row>
    <row r="277" spans="62:73" ht="18.75" customHeight="1" x14ac:dyDescent="0.25">
      <c r="BJ277" s="94"/>
      <c r="BK277" s="94"/>
      <c r="BL277" s="94"/>
      <c r="BM277" s="94"/>
      <c r="BN277" s="94"/>
      <c r="BO277" s="94"/>
      <c r="BP277" s="94"/>
      <c r="BQ277" s="94"/>
      <c r="BR277" s="94"/>
      <c r="BS277" s="94"/>
      <c r="BT277" s="94"/>
      <c r="BU277" s="94"/>
    </row>
    <row r="278" spans="62:73" ht="18.75" customHeight="1" x14ac:dyDescent="0.25">
      <c r="BJ278" s="94"/>
      <c r="BK278" s="94"/>
      <c r="BL278" s="94"/>
      <c r="BM278" s="94"/>
      <c r="BN278" s="94"/>
      <c r="BO278" s="94"/>
      <c r="BP278" s="94"/>
      <c r="BQ278" s="94"/>
      <c r="BR278" s="94"/>
      <c r="BS278" s="94"/>
      <c r="BT278" s="94"/>
      <c r="BU278" s="94"/>
    </row>
    <row r="279" spans="62:73" ht="18.75" customHeight="1" x14ac:dyDescent="0.25">
      <c r="BJ279" s="94"/>
      <c r="BK279" s="94"/>
      <c r="BL279" s="94"/>
      <c r="BM279" s="94"/>
      <c r="BN279" s="94"/>
      <c r="BO279" s="94"/>
      <c r="BP279" s="94"/>
      <c r="BQ279" s="94"/>
      <c r="BR279" s="94"/>
      <c r="BS279" s="94"/>
      <c r="BT279" s="94"/>
      <c r="BU279" s="94"/>
    </row>
    <row r="280" spans="62:73" ht="18.75" customHeight="1" x14ac:dyDescent="0.25">
      <c r="BJ280" s="94"/>
      <c r="BK280" s="94"/>
      <c r="BL280" s="94"/>
      <c r="BM280" s="94"/>
      <c r="BN280" s="94"/>
      <c r="BO280" s="94"/>
      <c r="BP280" s="94"/>
      <c r="BQ280" s="94"/>
      <c r="BR280" s="94"/>
      <c r="BS280" s="94"/>
      <c r="BT280" s="94"/>
      <c r="BU280" s="94"/>
    </row>
    <row r="281" spans="62:73" ht="18.75" customHeight="1" x14ac:dyDescent="0.25">
      <c r="BJ281" s="94"/>
      <c r="BK281" s="94"/>
      <c r="BL281" s="94"/>
      <c r="BM281" s="94"/>
      <c r="BN281" s="94"/>
      <c r="BO281" s="94"/>
      <c r="BP281" s="94"/>
      <c r="BQ281" s="94"/>
      <c r="BR281" s="94"/>
      <c r="BS281" s="94"/>
      <c r="BT281" s="94"/>
      <c r="BU281" s="94"/>
    </row>
    <row r="282" spans="62:73" ht="18.75" customHeight="1" x14ac:dyDescent="0.25">
      <c r="BJ282" s="94"/>
      <c r="BK282" s="94"/>
      <c r="BL282" s="94"/>
      <c r="BM282" s="94"/>
      <c r="BN282" s="94"/>
      <c r="BO282" s="94"/>
      <c r="BP282" s="94"/>
      <c r="BQ282" s="94"/>
      <c r="BR282" s="94"/>
      <c r="BS282" s="94"/>
      <c r="BT282" s="94"/>
      <c r="BU282" s="94"/>
    </row>
    <row r="283" spans="62:73" ht="18.75" customHeight="1" x14ac:dyDescent="0.25">
      <c r="BJ283" s="94"/>
      <c r="BK283" s="94"/>
      <c r="BL283" s="94"/>
      <c r="BM283" s="94"/>
      <c r="BN283" s="94"/>
      <c r="BO283" s="94"/>
      <c r="BP283" s="94"/>
      <c r="BQ283" s="94"/>
      <c r="BR283" s="94"/>
      <c r="BS283" s="94"/>
      <c r="BT283" s="94"/>
      <c r="BU283" s="94"/>
    </row>
    <row r="284" spans="62:73" ht="18.75" customHeight="1" x14ac:dyDescent="0.25">
      <c r="BJ284" s="94"/>
      <c r="BK284" s="94"/>
      <c r="BL284" s="94"/>
      <c r="BM284" s="94"/>
      <c r="BN284" s="94"/>
      <c r="BO284" s="94"/>
      <c r="BP284" s="94"/>
      <c r="BQ284" s="94"/>
      <c r="BR284" s="94"/>
      <c r="BS284" s="94"/>
      <c r="BT284" s="94"/>
      <c r="BU284" s="94"/>
    </row>
    <row r="285" spans="62:73" ht="18.75" customHeight="1" x14ac:dyDescent="0.25">
      <c r="BJ285" s="94"/>
      <c r="BK285" s="94"/>
      <c r="BL285" s="94"/>
      <c r="BM285" s="94"/>
      <c r="BN285" s="94"/>
      <c r="BO285" s="94"/>
      <c r="BP285" s="94"/>
      <c r="BQ285" s="94"/>
      <c r="BR285" s="94"/>
      <c r="BS285" s="94"/>
      <c r="BT285" s="94"/>
      <c r="BU285" s="94"/>
    </row>
    <row r="286" spans="62:73" ht="18.75" customHeight="1" x14ac:dyDescent="0.25">
      <c r="BJ286" s="94"/>
      <c r="BK286" s="94"/>
      <c r="BL286" s="94"/>
      <c r="BM286" s="94"/>
      <c r="BN286" s="94"/>
      <c r="BO286" s="94"/>
      <c r="BP286" s="94"/>
      <c r="BQ286" s="94"/>
      <c r="BR286" s="94"/>
      <c r="BS286" s="94"/>
      <c r="BT286" s="94"/>
      <c r="BU286" s="94"/>
    </row>
    <row r="287" spans="62:73" ht="18.75" customHeight="1" x14ac:dyDescent="0.25">
      <c r="BJ287" s="94"/>
      <c r="BK287" s="94"/>
      <c r="BL287" s="94"/>
      <c r="BM287" s="94"/>
      <c r="BN287" s="94"/>
      <c r="BO287" s="94"/>
      <c r="BP287" s="94"/>
      <c r="BQ287" s="94"/>
      <c r="BR287" s="94"/>
      <c r="BS287" s="94"/>
      <c r="BT287" s="94"/>
      <c r="BU287" s="94"/>
    </row>
    <row r="288" spans="62:73" ht="18.75" customHeight="1" x14ac:dyDescent="0.25">
      <c r="BJ288" s="94"/>
      <c r="BK288" s="94"/>
      <c r="BL288" s="94"/>
      <c r="BM288" s="94"/>
      <c r="BN288" s="94"/>
      <c r="BO288" s="94"/>
      <c r="BP288" s="94"/>
      <c r="BQ288" s="94"/>
      <c r="BR288" s="94"/>
      <c r="BS288" s="94"/>
      <c r="BT288" s="94"/>
      <c r="BU288" s="94"/>
    </row>
    <row r="289" spans="62:73" ht="18.75" customHeight="1" x14ac:dyDescent="0.25">
      <c r="BJ289" s="94"/>
      <c r="BK289" s="94"/>
      <c r="BL289" s="94"/>
      <c r="BM289" s="94"/>
      <c r="BN289" s="94"/>
      <c r="BO289" s="94"/>
      <c r="BP289" s="94"/>
      <c r="BQ289" s="94"/>
      <c r="BR289" s="94"/>
      <c r="BS289" s="94"/>
      <c r="BT289" s="94"/>
      <c r="BU289" s="94"/>
    </row>
    <row r="290" spans="62:73" ht="18.75" customHeight="1" x14ac:dyDescent="0.25">
      <c r="BJ290" s="94"/>
      <c r="BK290" s="94"/>
      <c r="BL290" s="94"/>
      <c r="BM290" s="94"/>
      <c r="BN290" s="94"/>
      <c r="BO290" s="94"/>
      <c r="BP290" s="94"/>
      <c r="BQ290" s="94"/>
      <c r="BR290" s="94"/>
      <c r="BS290" s="94"/>
      <c r="BT290" s="94"/>
      <c r="BU290" s="94"/>
    </row>
    <row r="291" spans="62:73" ht="18.75" customHeight="1" x14ac:dyDescent="0.25">
      <c r="BJ291" s="94"/>
      <c r="BK291" s="94"/>
      <c r="BL291" s="94"/>
      <c r="BM291" s="94"/>
      <c r="BN291" s="94"/>
      <c r="BO291" s="94"/>
      <c r="BP291" s="94"/>
      <c r="BQ291" s="94"/>
      <c r="BR291" s="94"/>
      <c r="BS291" s="94"/>
      <c r="BT291" s="94"/>
      <c r="BU291" s="94"/>
    </row>
    <row r="292" spans="62:73" ht="18.75" customHeight="1" x14ac:dyDescent="0.25">
      <c r="BJ292" s="94"/>
      <c r="BK292" s="94"/>
      <c r="BL292" s="94"/>
      <c r="BM292" s="94"/>
      <c r="BN292" s="94"/>
      <c r="BO292" s="94"/>
      <c r="BP292" s="94"/>
      <c r="BQ292" s="94"/>
      <c r="BR292" s="94"/>
      <c r="BS292" s="94"/>
      <c r="BT292" s="94"/>
      <c r="BU292" s="94"/>
    </row>
    <row r="293" spans="62:73" ht="18.75" customHeight="1" x14ac:dyDescent="0.25">
      <c r="BJ293" s="94"/>
      <c r="BK293" s="94"/>
      <c r="BL293" s="94"/>
      <c r="BM293" s="94"/>
      <c r="BN293" s="94"/>
      <c r="BO293" s="94"/>
      <c r="BP293" s="94"/>
      <c r="BQ293" s="94"/>
      <c r="BR293" s="94"/>
      <c r="BS293" s="94"/>
      <c r="BT293" s="94"/>
      <c r="BU293" s="94"/>
    </row>
    <row r="294" spans="62:73" ht="18.75" customHeight="1" x14ac:dyDescent="0.25">
      <c r="BJ294" s="94"/>
      <c r="BK294" s="94"/>
      <c r="BL294" s="94"/>
      <c r="BM294" s="94"/>
      <c r="BN294" s="94"/>
      <c r="BO294" s="94"/>
      <c r="BP294" s="94"/>
      <c r="BQ294" s="94"/>
      <c r="BR294" s="94"/>
      <c r="BS294" s="94"/>
      <c r="BT294" s="94"/>
      <c r="BU294" s="94"/>
    </row>
    <row r="295" spans="62:73" ht="18.75" customHeight="1" x14ac:dyDescent="0.25">
      <c r="BJ295" s="94"/>
      <c r="BK295" s="94"/>
      <c r="BL295" s="94"/>
      <c r="BM295" s="94"/>
      <c r="BN295" s="94"/>
      <c r="BO295" s="94"/>
      <c r="BP295" s="94"/>
      <c r="BQ295" s="94"/>
      <c r="BR295" s="94"/>
      <c r="BS295" s="94"/>
      <c r="BT295" s="94"/>
      <c r="BU295" s="94"/>
    </row>
    <row r="296" spans="62:73" ht="18.75" customHeight="1" x14ac:dyDescent="0.25">
      <c r="BJ296" s="94"/>
      <c r="BK296" s="94"/>
      <c r="BL296" s="94"/>
      <c r="BM296" s="94"/>
      <c r="BN296" s="94"/>
      <c r="BO296" s="94"/>
      <c r="BP296" s="94"/>
      <c r="BQ296" s="94"/>
      <c r="BR296" s="94"/>
      <c r="BS296" s="94"/>
      <c r="BT296" s="94"/>
      <c r="BU296" s="94"/>
    </row>
    <row r="297" spans="62:73" ht="18.75" customHeight="1" x14ac:dyDescent="0.25">
      <c r="BJ297" s="94"/>
      <c r="BK297" s="94"/>
      <c r="BL297" s="94"/>
      <c r="BM297" s="94"/>
      <c r="BN297" s="94"/>
      <c r="BO297" s="94"/>
      <c r="BP297" s="94"/>
      <c r="BQ297" s="94"/>
      <c r="BR297" s="94"/>
      <c r="BS297" s="94"/>
      <c r="BT297" s="94"/>
      <c r="BU297" s="94"/>
    </row>
    <row r="298" spans="62:73" ht="18.75" customHeight="1" x14ac:dyDescent="0.25">
      <c r="BJ298" s="94"/>
      <c r="BK298" s="94"/>
      <c r="BL298" s="94"/>
      <c r="BM298" s="94"/>
      <c r="BN298" s="94"/>
      <c r="BO298" s="94"/>
      <c r="BP298" s="94"/>
      <c r="BQ298" s="94"/>
      <c r="BR298" s="94"/>
      <c r="BS298" s="94"/>
      <c r="BT298" s="94"/>
      <c r="BU298" s="94"/>
    </row>
    <row r="299" spans="62:73" ht="18.75" customHeight="1" x14ac:dyDescent="0.25">
      <c r="BJ299" s="94"/>
      <c r="BK299" s="94"/>
      <c r="BL299" s="94"/>
      <c r="BM299" s="94"/>
      <c r="BN299" s="94"/>
      <c r="BO299" s="94"/>
      <c r="BP299" s="94"/>
      <c r="BQ299" s="94"/>
      <c r="BR299" s="94"/>
      <c r="BS299" s="94"/>
      <c r="BT299" s="94"/>
      <c r="BU299" s="94"/>
    </row>
    <row r="300" spans="62:73" ht="18.75" customHeight="1" x14ac:dyDescent="0.25">
      <c r="BJ300" s="94"/>
      <c r="BK300" s="94"/>
      <c r="BL300" s="94"/>
      <c r="BM300" s="94"/>
      <c r="BN300" s="94"/>
      <c r="BO300" s="94"/>
      <c r="BP300" s="94"/>
      <c r="BQ300" s="94"/>
      <c r="BR300" s="94"/>
      <c r="BS300" s="94"/>
      <c r="BT300" s="94"/>
      <c r="BU300" s="94"/>
    </row>
    <row r="301" spans="62:73" ht="18.75" customHeight="1" x14ac:dyDescent="0.25">
      <c r="BJ301" s="94"/>
      <c r="BK301" s="94"/>
      <c r="BL301" s="94"/>
      <c r="BM301" s="94"/>
      <c r="BN301" s="94"/>
      <c r="BO301" s="94"/>
      <c r="BP301" s="94"/>
      <c r="BQ301" s="94"/>
      <c r="BR301" s="94"/>
      <c r="BS301" s="94"/>
      <c r="BT301" s="94"/>
      <c r="BU301" s="94"/>
    </row>
    <row r="302" spans="62:73" ht="18.75" customHeight="1" x14ac:dyDescent="0.25">
      <c r="BJ302" s="94"/>
      <c r="BK302" s="94"/>
      <c r="BL302" s="94"/>
      <c r="BM302" s="94"/>
      <c r="BN302" s="94"/>
      <c r="BO302" s="94"/>
      <c r="BP302" s="94"/>
      <c r="BQ302" s="94"/>
      <c r="BR302" s="94"/>
      <c r="BS302" s="94"/>
      <c r="BT302" s="94"/>
      <c r="BU302" s="94"/>
    </row>
    <row r="303" spans="62:73" ht="18.75" customHeight="1" x14ac:dyDescent="0.25">
      <c r="BJ303" s="94"/>
      <c r="BK303" s="94"/>
      <c r="BL303" s="94"/>
      <c r="BM303" s="94"/>
      <c r="BN303" s="94"/>
      <c r="BO303" s="94"/>
      <c r="BP303" s="94"/>
      <c r="BQ303" s="94"/>
      <c r="BR303" s="94"/>
      <c r="BS303" s="94"/>
      <c r="BT303" s="94"/>
      <c r="BU303" s="94"/>
    </row>
    <row r="304" spans="62:73" ht="18.75" customHeight="1" x14ac:dyDescent="0.25">
      <c r="BJ304" s="94"/>
      <c r="BK304" s="94"/>
      <c r="BL304" s="94"/>
      <c r="BM304" s="94"/>
      <c r="BN304" s="94"/>
      <c r="BO304" s="94"/>
      <c r="BP304" s="94"/>
      <c r="BQ304" s="94"/>
      <c r="BR304" s="94"/>
      <c r="BS304" s="94"/>
      <c r="BT304" s="94"/>
      <c r="BU304" s="94"/>
    </row>
    <row r="305" spans="62:73" ht="18.75" customHeight="1" x14ac:dyDescent="0.25">
      <c r="BJ305" s="94"/>
      <c r="BK305" s="94"/>
      <c r="BL305" s="94"/>
      <c r="BM305" s="94"/>
      <c r="BN305" s="94"/>
      <c r="BO305" s="94"/>
      <c r="BP305" s="94"/>
      <c r="BQ305" s="94"/>
      <c r="BR305" s="94"/>
      <c r="BS305" s="94"/>
      <c r="BT305" s="94"/>
      <c r="BU305" s="94"/>
    </row>
    <row r="306" spans="62:73" ht="18.75" customHeight="1" x14ac:dyDescent="0.25">
      <c r="BJ306" s="94"/>
      <c r="BK306" s="94"/>
      <c r="BL306" s="94"/>
      <c r="BM306" s="94"/>
      <c r="BN306" s="94"/>
      <c r="BO306" s="94"/>
      <c r="BP306" s="94"/>
      <c r="BQ306" s="94"/>
      <c r="BR306" s="94"/>
      <c r="BS306" s="94"/>
      <c r="BT306" s="94"/>
      <c r="BU306" s="94"/>
    </row>
    <row r="307" spans="62:73" ht="18.75" customHeight="1" x14ac:dyDescent="0.25">
      <c r="BJ307" s="94"/>
      <c r="BK307" s="94"/>
      <c r="BL307" s="94"/>
      <c r="BM307" s="94"/>
      <c r="BN307" s="94"/>
      <c r="BO307" s="94"/>
      <c r="BP307" s="94"/>
      <c r="BQ307" s="94"/>
      <c r="BR307" s="94"/>
      <c r="BS307" s="94"/>
      <c r="BT307" s="94"/>
      <c r="BU307" s="94"/>
    </row>
    <row r="308" spans="62:73" ht="18.75" customHeight="1" x14ac:dyDescent="0.25">
      <c r="BJ308" s="94"/>
      <c r="BK308" s="94"/>
      <c r="BL308" s="94"/>
      <c r="BM308" s="94"/>
      <c r="BN308" s="94"/>
      <c r="BO308" s="94"/>
      <c r="BP308" s="94"/>
      <c r="BQ308" s="94"/>
      <c r="BR308" s="94"/>
      <c r="BS308" s="94"/>
      <c r="BT308" s="94"/>
      <c r="BU308" s="94"/>
    </row>
    <row r="309" spans="62:73" ht="18.75" customHeight="1" x14ac:dyDescent="0.25">
      <c r="BJ309" s="94"/>
      <c r="BK309" s="94"/>
      <c r="BL309" s="94"/>
      <c r="BM309" s="94"/>
      <c r="BN309" s="94"/>
      <c r="BO309" s="94"/>
      <c r="BP309" s="94"/>
      <c r="BQ309" s="94"/>
      <c r="BR309" s="94"/>
      <c r="BS309" s="94"/>
      <c r="BT309" s="94"/>
      <c r="BU309" s="94"/>
    </row>
    <row r="310" spans="62:73" ht="18.75" customHeight="1" x14ac:dyDescent="0.25">
      <c r="BJ310" s="94"/>
      <c r="BK310" s="94"/>
      <c r="BL310" s="94"/>
      <c r="BM310" s="94"/>
      <c r="BN310" s="94"/>
      <c r="BO310" s="94"/>
      <c r="BP310" s="94"/>
      <c r="BQ310" s="94"/>
      <c r="BR310" s="94"/>
      <c r="BS310" s="94"/>
      <c r="BT310" s="94"/>
      <c r="BU310" s="94"/>
    </row>
    <row r="311" spans="62:73" ht="18.75" customHeight="1" x14ac:dyDescent="0.25">
      <c r="BJ311" s="94"/>
      <c r="BK311" s="94"/>
      <c r="BL311" s="94"/>
      <c r="BM311" s="94"/>
      <c r="BN311" s="94"/>
      <c r="BO311" s="94"/>
      <c r="BP311" s="94"/>
      <c r="BQ311" s="94"/>
      <c r="BR311" s="94"/>
      <c r="BS311" s="94"/>
      <c r="BT311" s="94"/>
      <c r="BU311" s="94"/>
    </row>
    <row r="312" spans="62:73" ht="18.75" customHeight="1" x14ac:dyDescent="0.25">
      <c r="BJ312" s="94"/>
      <c r="BK312" s="94"/>
      <c r="BL312" s="94"/>
      <c r="BM312" s="94"/>
      <c r="BN312" s="94"/>
      <c r="BO312" s="94"/>
      <c r="BP312" s="94"/>
      <c r="BQ312" s="94"/>
      <c r="BR312" s="94"/>
      <c r="BS312" s="94"/>
      <c r="BT312" s="94"/>
      <c r="BU312" s="94"/>
    </row>
    <row r="313" spans="62:73" ht="18.75" customHeight="1" x14ac:dyDescent="0.25">
      <c r="BJ313" s="94"/>
      <c r="BK313" s="94"/>
      <c r="BL313" s="94"/>
      <c r="BM313" s="94"/>
      <c r="BN313" s="94"/>
      <c r="BO313" s="94"/>
      <c r="BP313" s="94"/>
      <c r="BQ313" s="94"/>
      <c r="BR313" s="94"/>
      <c r="BS313" s="94"/>
      <c r="BT313" s="94"/>
      <c r="BU313" s="94"/>
    </row>
    <row r="314" spans="62:73" ht="18.75" customHeight="1" x14ac:dyDescent="0.25">
      <c r="BJ314" s="94"/>
      <c r="BK314" s="94"/>
      <c r="BL314" s="94"/>
      <c r="BM314" s="94"/>
      <c r="BN314" s="94"/>
      <c r="BO314" s="94"/>
      <c r="BP314" s="94"/>
      <c r="BQ314" s="94"/>
      <c r="BR314" s="94"/>
      <c r="BS314" s="94"/>
      <c r="BT314" s="94"/>
      <c r="BU314" s="94"/>
    </row>
    <row r="315" spans="62:73" ht="18.75" customHeight="1" x14ac:dyDescent="0.25">
      <c r="BJ315" s="94"/>
      <c r="BK315" s="94"/>
      <c r="BL315" s="94"/>
      <c r="BM315" s="94"/>
      <c r="BN315" s="94"/>
      <c r="BO315" s="94"/>
      <c r="BP315" s="94"/>
      <c r="BQ315" s="94"/>
      <c r="BR315" s="94"/>
      <c r="BS315" s="94"/>
      <c r="BT315" s="94"/>
      <c r="BU315" s="94"/>
    </row>
    <row r="316" spans="62:73" ht="18.75" customHeight="1" x14ac:dyDescent="0.25">
      <c r="BJ316" s="94"/>
      <c r="BK316" s="94"/>
      <c r="BL316" s="94"/>
      <c r="BM316" s="94"/>
      <c r="BN316" s="94"/>
      <c r="BO316" s="94"/>
      <c r="BP316" s="94"/>
      <c r="BQ316" s="94"/>
      <c r="BR316" s="94"/>
      <c r="BS316" s="94"/>
      <c r="BT316" s="94"/>
      <c r="BU316" s="94"/>
    </row>
    <row r="317" spans="62:73" ht="18.75" customHeight="1" x14ac:dyDescent="0.25">
      <c r="BJ317" s="94"/>
      <c r="BK317" s="94"/>
      <c r="BL317" s="94"/>
      <c r="BM317" s="94"/>
      <c r="BN317" s="94"/>
      <c r="BO317" s="94"/>
      <c r="BP317" s="94"/>
      <c r="BQ317" s="94"/>
      <c r="BR317" s="94"/>
      <c r="BS317" s="94"/>
      <c r="BT317" s="94"/>
      <c r="BU317" s="94"/>
    </row>
    <row r="318" spans="62:73" ht="18.75" customHeight="1" x14ac:dyDescent="0.25">
      <c r="BJ318" s="94"/>
      <c r="BK318" s="94"/>
      <c r="BL318" s="94"/>
      <c r="BM318" s="94"/>
      <c r="BN318" s="94"/>
      <c r="BO318" s="94"/>
      <c r="BP318" s="94"/>
      <c r="BQ318" s="94"/>
      <c r="BR318" s="94"/>
      <c r="BS318" s="94"/>
      <c r="BT318" s="94"/>
      <c r="BU318" s="94"/>
    </row>
    <row r="319" spans="62:73" ht="18.75" customHeight="1" x14ac:dyDescent="0.25">
      <c r="BJ319" s="94"/>
      <c r="BK319" s="94"/>
      <c r="BL319" s="94"/>
      <c r="BM319" s="94"/>
      <c r="BN319" s="94"/>
      <c r="BO319" s="94"/>
      <c r="BP319" s="94"/>
      <c r="BQ319" s="94"/>
      <c r="BR319" s="94"/>
      <c r="BS319" s="94"/>
      <c r="BT319" s="94"/>
      <c r="BU319" s="94"/>
    </row>
    <row r="320" spans="62:73" ht="18.75" customHeight="1" x14ac:dyDescent="0.25">
      <c r="BJ320" s="94"/>
      <c r="BK320" s="94"/>
      <c r="BL320" s="94"/>
      <c r="BM320" s="94"/>
      <c r="BN320" s="94"/>
      <c r="BO320" s="94"/>
      <c r="BP320" s="94"/>
      <c r="BQ320" s="94"/>
      <c r="BR320" s="94"/>
      <c r="BS320" s="94"/>
      <c r="BT320" s="94"/>
      <c r="BU320" s="94"/>
    </row>
    <row r="321" spans="62:73" ht="18.75" customHeight="1" x14ac:dyDescent="0.25">
      <c r="BJ321" s="94"/>
      <c r="BK321" s="94"/>
      <c r="BL321" s="94"/>
      <c r="BM321" s="94"/>
      <c r="BN321" s="94"/>
      <c r="BO321" s="94"/>
      <c r="BP321" s="94"/>
      <c r="BQ321" s="94"/>
      <c r="BR321" s="94"/>
      <c r="BS321" s="94"/>
      <c r="BT321" s="94"/>
      <c r="BU321" s="94"/>
    </row>
    <row r="322" spans="62:73" ht="18.75" customHeight="1" x14ac:dyDescent="0.25">
      <c r="BJ322" s="94"/>
      <c r="BK322" s="94"/>
      <c r="BL322" s="94"/>
      <c r="BM322" s="94"/>
      <c r="BN322" s="94"/>
      <c r="BO322" s="94"/>
      <c r="BP322" s="94"/>
      <c r="BQ322" s="94"/>
      <c r="BR322" s="94"/>
      <c r="BS322" s="94"/>
      <c r="BT322" s="94"/>
      <c r="BU322" s="94"/>
    </row>
    <row r="323" spans="62:73" ht="18.75" customHeight="1" x14ac:dyDescent="0.25">
      <c r="BJ323" s="94"/>
      <c r="BK323" s="94"/>
      <c r="BL323" s="94"/>
      <c r="BM323" s="94"/>
      <c r="BN323" s="94"/>
      <c r="BO323" s="94"/>
      <c r="BP323" s="94"/>
      <c r="BQ323" s="94"/>
      <c r="BR323" s="94"/>
      <c r="BS323" s="94"/>
      <c r="BT323" s="94"/>
      <c r="BU323" s="94"/>
    </row>
    <row r="324" spans="62:73" ht="18.75" customHeight="1" x14ac:dyDescent="0.25">
      <c r="BJ324" s="94"/>
      <c r="BK324" s="94"/>
      <c r="BL324" s="94"/>
      <c r="BM324" s="94"/>
      <c r="BN324" s="94"/>
      <c r="BO324" s="94"/>
      <c r="BP324" s="94"/>
      <c r="BQ324" s="94"/>
      <c r="BR324" s="94"/>
      <c r="BS324" s="94"/>
      <c r="BT324" s="94"/>
      <c r="BU324" s="94"/>
    </row>
    <row r="325" spans="62:73" ht="18.75" customHeight="1" x14ac:dyDescent="0.25">
      <c r="BJ325" s="94"/>
      <c r="BK325" s="94"/>
      <c r="BL325" s="94"/>
      <c r="BM325" s="94"/>
      <c r="BN325" s="94"/>
      <c r="BO325" s="94"/>
      <c r="BP325" s="94"/>
      <c r="BQ325" s="94"/>
      <c r="BR325" s="94"/>
      <c r="BS325" s="94"/>
      <c r="BT325" s="94"/>
      <c r="BU325" s="94"/>
    </row>
    <row r="326" spans="62:73" ht="18.75" customHeight="1" x14ac:dyDescent="0.25">
      <c r="BJ326" s="94"/>
      <c r="BK326" s="94"/>
      <c r="BL326" s="94"/>
      <c r="BM326" s="94"/>
      <c r="BN326" s="94"/>
      <c r="BO326" s="94"/>
      <c r="BP326" s="94"/>
      <c r="BQ326" s="94"/>
      <c r="BR326" s="94"/>
      <c r="BS326" s="94"/>
      <c r="BT326" s="94"/>
      <c r="BU326" s="94"/>
    </row>
    <row r="327" spans="62:73" ht="18.75" customHeight="1" x14ac:dyDescent="0.25">
      <c r="BJ327" s="94"/>
      <c r="BK327" s="94"/>
      <c r="BL327" s="94"/>
      <c r="BM327" s="94"/>
      <c r="BN327" s="94"/>
      <c r="BO327" s="94"/>
      <c r="BP327" s="94"/>
      <c r="BQ327" s="94"/>
      <c r="BR327" s="94"/>
      <c r="BS327" s="94"/>
      <c r="BT327" s="94"/>
      <c r="BU327" s="94"/>
    </row>
    <row r="328" spans="62:73" ht="18.75" customHeight="1" x14ac:dyDescent="0.25">
      <c r="BJ328" s="94"/>
      <c r="BK328" s="94"/>
      <c r="BL328" s="94"/>
      <c r="BM328" s="94"/>
      <c r="BN328" s="94"/>
      <c r="BO328" s="94"/>
      <c r="BP328" s="94"/>
      <c r="BQ328" s="94"/>
      <c r="BR328" s="94"/>
      <c r="BS328" s="94"/>
      <c r="BT328" s="94"/>
      <c r="BU328" s="94"/>
    </row>
    <row r="329" spans="62:73" ht="18.75" customHeight="1" x14ac:dyDescent="0.25">
      <c r="BJ329" s="94"/>
      <c r="BK329" s="94"/>
      <c r="BL329" s="94"/>
      <c r="BM329" s="94"/>
      <c r="BN329" s="94"/>
      <c r="BO329" s="94"/>
      <c r="BP329" s="94"/>
      <c r="BQ329" s="94"/>
      <c r="BR329" s="94"/>
      <c r="BS329" s="94"/>
      <c r="BT329" s="94"/>
      <c r="BU329" s="94"/>
    </row>
    <row r="330" spans="62:73" ht="18.75" customHeight="1" x14ac:dyDescent="0.25">
      <c r="BJ330" s="94"/>
      <c r="BK330" s="94"/>
      <c r="BL330" s="94"/>
      <c r="BM330" s="94"/>
      <c r="BN330" s="94"/>
      <c r="BO330" s="94"/>
      <c r="BP330" s="94"/>
      <c r="BQ330" s="94"/>
      <c r="BR330" s="94"/>
      <c r="BS330" s="94"/>
      <c r="BT330" s="94"/>
      <c r="BU330" s="94"/>
    </row>
    <row r="331" spans="62:73" ht="18.75" customHeight="1" x14ac:dyDescent="0.25">
      <c r="BJ331" s="94"/>
      <c r="BK331" s="94"/>
      <c r="BL331" s="94"/>
      <c r="BM331" s="94"/>
      <c r="BN331" s="94"/>
      <c r="BO331" s="94"/>
      <c r="BP331" s="94"/>
      <c r="BQ331" s="94"/>
      <c r="BR331" s="94"/>
      <c r="BS331" s="94"/>
      <c r="BT331" s="94"/>
      <c r="BU331" s="94"/>
    </row>
    <row r="332" spans="62:73" ht="18.75" customHeight="1" x14ac:dyDescent="0.25">
      <c r="BJ332" s="94"/>
      <c r="BK332" s="94"/>
      <c r="BL332" s="94"/>
      <c r="BM332" s="94"/>
      <c r="BN332" s="94"/>
      <c r="BO332" s="94"/>
      <c r="BP332" s="94"/>
      <c r="BQ332" s="94"/>
      <c r="BR332" s="94"/>
      <c r="BS332" s="94"/>
      <c r="BT332" s="94"/>
      <c r="BU332" s="94"/>
    </row>
    <row r="333" spans="62:73" ht="18.75" customHeight="1" x14ac:dyDescent="0.25">
      <c r="BJ333" s="94"/>
      <c r="BK333" s="94"/>
      <c r="BL333" s="94"/>
      <c r="BM333" s="94"/>
      <c r="BN333" s="94"/>
      <c r="BO333" s="94"/>
      <c r="BP333" s="94"/>
      <c r="BQ333" s="94"/>
      <c r="BR333" s="94"/>
      <c r="BS333" s="94"/>
      <c r="BT333" s="94"/>
      <c r="BU333" s="94"/>
    </row>
    <row r="334" spans="62:73" ht="18.75" customHeight="1" x14ac:dyDescent="0.25">
      <c r="BJ334" s="94"/>
      <c r="BK334" s="94"/>
      <c r="BL334" s="94"/>
      <c r="BM334" s="94"/>
      <c r="BN334" s="94"/>
      <c r="BO334" s="94"/>
      <c r="BP334" s="94"/>
      <c r="BQ334" s="94"/>
      <c r="BR334" s="94"/>
      <c r="BS334" s="94"/>
      <c r="BT334" s="94"/>
      <c r="BU334" s="94"/>
    </row>
    <row r="335" spans="62:73" ht="18.75" customHeight="1" x14ac:dyDescent="0.25">
      <c r="BJ335" s="94"/>
      <c r="BK335" s="94"/>
      <c r="BL335" s="94"/>
      <c r="BM335" s="94"/>
      <c r="BN335" s="94"/>
      <c r="BO335" s="94"/>
      <c r="BP335" s="94"/>
      <c r="BQ335" s="94"/>
      <c r="BR335" s="94"/>
      <c r="BS335" s="94"/>
      <c r="BT335" s="94"/>
      <c r="BU335" s="94"/>
    </row>
    <row r="336" spans="62:73" ht="18.75" customHeight="1" x14ac:dyDescent="0.25">
      <c r="BJ336" s="94"/>
      <c r="BK336" s="94"/>
      <c r="BL336" s="94"/>
      <c r="BM336" s="94"/>
      <c r="BN336" s="94"/>
      <c r="BO336" s="94"/>
      <c r="BP336" s="94"/>
      <c r="BQ336" s="94"/>
      <c r="BR336" s="94"/>
      <c r="BS336" s="94"/>
      <c r="BT336" s="94"/>
      <c r="BU336" s="94"/>
    </row>
    <row r="337" spans="62:73" ht="18.75" customHeight="1" x14ac:dyDescent="0.25">
      <c r="BJ337" s="94"/>
      <c r="BK337" s="94"/>
      <c r="BL337" s="94"/>
      <c r="BM337" s="94"/>
      <c r="BN337" s="94"/>
      <c r="BO337" s="94"/>
      <c r="BP337" s="94"/>
      <c r="BQ337" s="94"/>
      <c r="BR337" s="94"/>
      <c r="BS337" s="94"/>
      <c r="BT337" s="94"/>
      <c r="BU337" s="94"/>
    </row>
    <row r="338" spans="62:73" ht="18.75" customHeight="1" x14ac:dyDescent="0.25">
      <c r="BJ338" s="94"/>
      <c r="BK338" s="94"/>
      <c r="BL338" s="94"/>
      <c r="BM338" s="94"/>
      <c r="BN338" s="94"/>
      <c r="BO338" s="94"/>
      <c r="BP338" s="94"/>
      <c r="BQ338" s="94"/>
      <c r="BR338" s="94"/>
      <c r="BS338" s="94"/>
      <c r="BT338" s="94"/>
      <c r="BU338" s="94"/>
    </row>
    <row r="339" spans="62:73" ht="18.75" customHeight="1" x14ac:dyDescent="0.25">
      <c r="BJ339" s="94"/>
      <c r="BK339" s="94"/>
      <c r="BL339" s="94"/>
      <c r="BM339" s="94"/>
      <c r="BN339" s="94"/>
      <c r="BO339" s="94"/>
      <c r="BP339" s="94"/>
      <c r="BQ339" s="94"/>
      <c r="BR339" s="94"/>
      <c r="BS339" s="94"/>
      <c r="BT339" s="94"/>
      <c r="BU339" s="94"/>
    </row>
    <row r="340" spans="62:73" ht="18.75" customHeight="1" x14ac:dyDescent="0.25">
      <c r="BJ340" s="94"/>
      <c r="BK340" s="94"/>
      <c r="BL340" s="94"/>
      <c r="BM340" s="94"/>
      <c r="BN340" s="94"/>
      <c r="BO340" s="94"/>
      <c r="BP340" s="94"/>
      <c r="BQ340" s="94"/>
      <c r="BR340" s="94"/>
      <c r="BS340" s="94"/>
      <c r="BT340" s="94"/>
      <c r="BU340" s="94"/>
    </row>
    <row r="341" spans="62:73" ht="18.75" customHeight="1" x14ac:dyDescent="0.25">
      <c r="BJ341" s="94"/>
      <c r="BK341" s="94"/>
      <c r="BL341" s="94"/>
      <c r="BM341" s="94"/>
      <c r="BN341" s="94"/>
      <c r="BO341" s="94"/>
      <c r="BP341" s="94"/>
      <c r="BQ341" s="94"/>
      <c r="BR341" s="94"/>
      <c r="BS341" s="94"/>
      <c r="BT341" s="94"/>
      <c r="BU341" s="94"/>
    </row>
    <row r="342" spans="62:73" ht="18.75" customHeight="1" x14ac:dyDescent="0.25">
      <c r="BJ342" s="94"/>
      <c r="BK342" s="94"/>
      <c r="BL342" s="94"/>
      <c r="BM342" s="94"/>
      <c r="BN342" s="94"/>
      <c r="BO342" s="94"/>
      <c r="BP342" s="94"/>
      <c r="BQ342" s="94"/>
      <c r="BR342" s="94"/>
      <c r="BS342" s="94"/>
      <c r="BT342" s="94"/>
      <c r="BU342" s="94"/>
    </row>
    <row r="343" spans="62:73" ht="18.75" customHeight="1" x14ac:dyDescent="0.25">
      <c r="BJ343" s="94"/>
      <c r="BK343" s="94"/>
      <c r="BL343" s="94"/>
      <c r="BM343" s="94"/>
      <c r="BN343" s="94"/>
      <c r="BO343" s="94"/>
      <c r="BP343" s="94"/>
      <c r="BQ343" s="94"/>
      <c r="BR343" s="94"/>
      <c r="BS343" s="94"/>
      <c r="BT343" s="94"/>
      <c r="BU343" s="94"/>
    </row>
    <row r="344" spans="62:73" ht="18.75" customHeight="1" x14ac:dyDescent="0.25">
      <c r="BJ344" s="94"/>
      <c r="BK344" s="94"/>
      <c r="BL344" s="94"/>
      <c r="BM344" s="94"/>
      <c r="BN344" s="94"/>
      <c r="BO344" s="94"/>
      <c r="BP344" s="94"/>
      <c r="BQ344" s="94"/>
      <c r="BR344" s="94"/>
      <c r="BS344" s="94"/>
      <c r="BT344" s="94"/>
      <c r="BU344" s="94"/>
    </row>
    <row r="345" spans="62:73" ht="18.75" customHeight="1" x14ac:dyDescent="0.25">
      <c r="BJ345" s="94"/>
      <c r="BK345" s="94"/>
      <c r="BL345" s="94"/>
      <c r="BM345" s="94"/>
      <c r="BN345" s="94"/>
      <c r="BO345" s="94"/>
      <c r="BP345" s="94"/>
      <c r="BQ345" s="94"/>
      <c r="BR345" s="94"/>
      <c r="BS345" s="94"/>
      <c r="BT345" s="94"/>
      <c r="BU345" s="94"/>
    </row>
    <row r="346" spans="62:73" ht="18.75" customHeight="1" x14ac:dyDescent="0.25">
      <c r="BJ346" s="94"/>
      <c r="BK346" s="94"/>
      <c r="BL346" s="94"/>
      <c r="BM346" s="94"/>
      <c r="BN346" s="94"/>
      <c r="BO346" s="94"/>
      <c r="BP346" s="94"/>
      <c r="BQ346" s="94"/>
      <c r="BR346" s="94"/>
      <c r="BS346" s="94"/>
      <c r="BT346" s="94"/>
      <c r="BU346" s="94"/>
    </row>
    <row r="347" spans="62:73" ht="18.75" customHeight="1" x14ac:dyDescent="0.25">
      <c r="BJ347" s="94"/>
      <c r="BK347" s="94"/>
      <c r="BL347" s="94"/>
      <c r="BM347" s="94"/>
      <c r="BN347" s="94"/>
      <c r="BO347" s="94"/>
      <c r="BP347" s="94"/>
      <c r="BQ347" s="94"/>
      <c r="BR347" s="94"/>
      <c r="BS347" s="94"/>
      <c r="BT347" s="94"/>
      <c r="BU347" s="94"/>
    </row>
    <row r="348" spans="62:73" ht="18.75" customHeight="1" x14ac:dyDescent="0.25">
      <c r="BJ348" s="94"/>
      <c r="BK348" s="94"/>
      <c r="BL348" s="94"/>
      <c r="BM348" s="94"/>
      <c r="BN348" s="94"/>
      <c r="BO348" s="94"/>
      <c r="BP348" s="94"/>
      <c r="BQ348" s="94"/>
      <c r="BR348" s="94"/>
      <c r="BS348" s="94"/>
      <c r="BT348" s="94"/>
      <c r="BU348" s="94"/>
    </row>
    <row r="349" spans="62:73" ht="18.75" customHeight="1" x14ac:dyDescent="0.25">
      <c r="BJ349" s="94"/>
      <c r="BK349" s="94"/>
      <c r="BL349" s="94"/>
      <c r="BM349" s="94"/>
      <c r="BN349" s="94"/>
      <c r="BO349" s="94"/>
      <c r="BP349" s="94"/>
      <c r="BQ349" s="94"/>
      <c r="BR349" s="94"/>
      <c r="BS349" s="94"/>
      <c r="BT349" s="94"/>
      <c r="BU349" s="94"/>
    </row>
    <row r="350" spans="62:73" ht="18.75" customHeight="1" x14ac:dyDescent="0.25">
      <c r="BJ350" s="94"/>
      <c r="BK350" s="94"/>
      <c r="BL350" s="94"/>
      <c r="BM350" s="94"/>
      <c r="BN350" s="94"/>
      <c r="BO350" s="94"/>
      <c r="BP350" s="94"/>
      <c r="BQ350" s="94"/>
      <c r="BR350" s="94"/>
      <c r="BS350" s="94"/>
      <c r="BT350" s="94"/>
      <c r="BU350" s="94"/>
    </row>
    <row r="351" spans="62:73" ht="18.75" customHeight="1" x14ac:dyDescent="0.25">
      <c r="BJ351" s="94"/>
      <c r="BK351" s="94"/>
      <c r="BL351" s="94"/>
      <c r="BM351" s="94"/>
      <c r="BN351" s="94"/>
      <c r="BO351" s="94"/>
      <c r="BP351" s="94"/>
      <c r="BQ351" s="94"/>
      <c r="BR351" s="94"/>
      <c r="BS351" s="94"/>
      <c r="BT351" s="94"/>
      <c r="BU351" s="94"/>
    </row>
    <row r="352" spans="62:73" ht="18.75" customHeight="1" x14ac:dyDescent="0.25">
      <c r="BJ352" s="94"/>
      <c r="BK352" s="94"/>
      <c r="BL352" s="94"/>
      <c r="BM352" s="94"/>
      <c r="BN352" s="94"/>
      <c r="BO352" s="94"/>
      <c r="BP352" s="94"/>
      <c r="BQ352" s="94"/>
      <c r="BR352" s="94"/>
      <c r="BS352" s="94"/>
      <c r="BT352" s="94"/>
      <c r="BU352" s="94"/>
    </row>
    <row r="353" spans="62:73" ht="18.75" customHeight="1" x14ac:dyDescent="0.25">
      <c r="BJ353" s="94"/>
      <c r="BK353" s="94"/>
      <c r="BL353" s="94"/>
      <c r="BM353" s="94"/>
      <c r="BN353" s="94"/>
      <c r="BO353" s="94"/>
      <c r="BP353" s="94"/>
      <c r="BQ353" s="94"/>
      <c r="BR353" s="94"/>
      <c r="BS353" s="94"/>
      <c r="BT353" s="94"/>
      <c r="BU353" s="94"/>
    </row>
    <row r="354" spans="62:73" ht="18.75" customHeight="1" x14ac:dyDescent="0.25">
      <c r="BJ354" s="94"/>
      <c r="BK354" s="94"/>
      <c r="BL354" s="94"/>
      <c r="BM354" s="94"/>
      <c r="BN354" s="94"/>
      <c r="BO354" s="94"/>
      <c r="BP354" s="94"/>
      <c r="BQ354" s="94"/>
      <c r="BR354" s="94"/>
      <c r="BS354" s="94"/>
      <c r="BT354" s="94"/>
      <c r="BU354" s="94"/>
    </row>
    <row r="355" spans="62:73" ht="18.75" customHeight="1" x14ac:dyDescent="0.25">
      <c r="BJ355" s="94"/>
      <c r="BK355" s="94"/>
      <c r="BL355" s="94"/>
      <c r="BM355" s="94"/>
      <c r="BN355" s="94"/>
      <c r="BO355" s="94"/>
      <c r="BP355" s="94"/>
      <c r="BQ355" s="94"/>
      <c r="BR355" s="94"/>
      <c r="BS355" s="94"/>
      <c r="BT355" s="94"/>
      <c r="BU355" s="94"/>
    </row>
    <row r="356" spans="62:73" ht="18.75" customHeight="1" x14ac:dyDescent="0.25">
      <c r="BJ356" s="94"/>
      <c r="BK356" s="94"/>
      <c r="BL356" s="94"/>
      <c r="BM356" s="94"/>
      <c r="BN356" s="94"/>
      <c r="BO356" s="94"/>
      <c r="BP356" s="94"/>
      <c r="BQ356" s="94"/>
      <c r="BR356" s="94"/>
      <c r="BS356" s="94"/>
      <c r="BT356" s="94"/>
      <c r="BU356" s="94"/>
    </row>
    <row r="357" spans="62:73" ht="18.75" customHeight="1" x14ac:dyDescent="0.25">
      <c r="BJ357" s="94"/>
      <c r="BK357" s="94"/>
      <c r="BL357" s="94"/>
      <c r="BM357" s="94"/>
      <c r="BN357" s="94"/>
      <c r="BO357" s="94"/>
      <c r="BP357" s="94"/>
      <c r="BQ357" s="94"/>
      <c r="BR357" s="94"/>
      <c r="BS357" s="94"/>
      <c r="BT357" s="94"/>
      <c r="BU357" s="94"/>
    </row>
    <row r="358" spans="62:73" ht="18.75" customHeight="1" x14ac:dyDescent="0.25">
      <c r="BJ358" s="94"/>
      <c r="BK358" s="94"/>
      <c r="BL358" s="94"/>
      <c r="BM358" s="94"/>
      <c r="BN358" s="94"/>
      <c r="BO358" s="94"/>
      <c r="BP358" s="94"/>
      <c r="BQ358" s="94"/>
      <c r="BR358" s="94"/>
      <c r="BS358" s="94"/>
      <c r="BT358" s="94"/>
      <c r="BU358" s="94"/>
    </row>
    <row r="359" spans="62:73" ht="18.75" customHeight="1" x14ac:dyDescent="0.25">
      <c r="BJ359" s="94"/>
      <c r="BK359" s="94"/>
      <c r="BL359" s="94"/>
      <c r="BM359" s="94"/>
      <c r="BN359" s="94"/>
      <c r="BO359" s="94"/>
      <c r="BP359" s="94"/>
      <c r="BQ359" s="94"/>
      <c r="BR359" s="94"/>
      <c r="BS359" s="94"/>
      <c r="BT359" s="94"/>
      <c r="BU359" s="94"/>
    </row>
    <row r="360" spans="62:73" ht="18.75" customHeight="1" x14ac:dyDescent="0.25">
      <c r="BJ360" s="94"/>
      <c r="BK360" s="94"/>
      <c r="BL360" s="94"/>
      <c r="BM360" s="94"/>
      <c r="BN360" s="94"/>
      <c r="BO360" s="94"/>
      <c r="BP360" s="94"/>
      <c r="BQ360" s="94"/>
      <c r="BR360" s="94"/>
      <c r="BS360" s="94"/>
      <c r="BT360" s="94"/>
      <c r="BU360" s="94"/>
    </row>
    <row r="361" spans="62:73" ht="18.75" customHeight="1" x14ac:dyDescent="0.25">
      <c r="BJ361" s="94"/>
      <c r="BK361" s="94"/>
      <c r="BL361" s="94"/>
      <c r="BM361" s="94"/>
      <c r="BN361" s="94"/>
      <c r="BO361" s="94"/>
      <c r="BP361" s="94"/>
      <c r="BQ361" s="94"/>
      <c r="BR361" s="94"/>
      <c r="BS361" s="94"/>
      <c r="BT361" s="94"/>
      <c r="BU361" s="94"/>
    </row>
    <row r="362" spans="62:73" ht="18.75" customHeight="1" x14ac:dyDescent="0.25">
      <c r="BJ362" s="94"/>
      <c r="BK362" s="94"/>
      <c r="BL362" s="94"/>
      <c r="BM362" s="94"/>
      <c r="BN362" s="94"/>
      <c r="BO362" s="94"/>
      <c r="BP362" s="94"/>
      <c r="BQ362" s="94"/>
      <c r="BR362" s="94"/>
      <c r="BS362" s="94"/>
      <c r="BT362" s="94"/>
      <c r="BU362" s="94"/>
    </row>
    <row r="363" spans="62:73" ht="18.75" customHeight="1" x14ac:dyDescent="0.25">
      <c r="BJ363" s="94"/>
      <c r="BK363" s="94"/>
      <c r="BL363" s="94"/>
      <c r="BM363" s="94"/>
      <c r="BN363" s="94"/>
      <c r="BO363" s="94"/>
      <c r="BP363" s="94"/>
      <c r="BQ363" s="94"/>
      <c r="BR363" s="94"/>
      <c r="BS363" s="94"/>
      <c r="BT363" s="94"/>
      <c r="BU363" s="94"/>
    </row>
    <row r="364" spans="62:73" ht="18.75" customHeight="1" x14ac:dyDescent="0.25">
      <c r="BJ364" s="94"/>
      <c r="BK364" s="94"/>
      <c r="BL364" s="94"/>
      <c r="BM364" s="94"/>
      <c r="BN364" s="94"/>
      <c r="BO364" s="94"/>
      <c r="BP364" s="94"/>
      <c r="BQ364" s="94"/>
      <c r="BR364" s="94"/>
      <c r="BS364" s="94"/>
      <c r="BT364" s="94"/>
      <c r="BU364" s="94"/>
    </row>
    <row r="365" spans="62:73" ht="18.75" customHeight="1" x14ac:dyDescent="0.25">
      <c r="BJ365" s="94"/>
      <c r="BK365" s="94"/>
      <c r="BL365" s="94"/>
      <c r="BM365" s="94"/>
      <c r="BN365" s="94"/>
      <c r="BO365" s="94"/>
      <c r="BP365" s="94"/>
      <c r="BQ365" s="94"/>
      <c r="BR365" s="94"/>
      <c r="BS365" s="94"/>
      <c r="BT365" s="94"/>
      <c r="BU365" s="94"/>
    </row>
    <row r="366" spans="62:73" ht="18.75" customHeight="1" x14ac:dyDescent="0.25">
      <c r="BJ366" s="94"/>
      <c r="BK366" s="94"/>
      <c r="BL366" s="94"/>
      <c r="BM366" s="94"/>
      <c r="BN366" s="94"/>
      <c r="BO366" s="94"/>
      <c r="BP366" s="94"/>
      <c r="BQ366" s="94"/>
      <c r="BR366" s="94"/>
      <c r="BS366" s="94"/>
      <c r="BT366" s="94"/>
      <c r="BU366" s="94"/>
    </row>
    <row r="367" spans="62:73" ht="18.75" customHeight="1" x14ac:dyDescent="0.25">
      <c r="BJ367" s="94"/>
      <c r="BK367" s="94"/>
      <c r="BL367" s="94"/>
      <c r="BM367" s="94"/>
      <c r="BN367" s="94"/>
      <c r="BO367" s="94"/>
      <c r="BP367" s="94"/>
      <c r="BQ367" s="94"/>
      <c r="BR367" s="94"/>
      <c r="BS367" s="94"/>
      <c r="BT367" s="94"/>
      <c r="BU367" s="94"/>
    </row>
    <row r="368" spans="62:73" ht="18.75" customHeight="1" x14ac:dyDescent="0.25">
      <c r="BJ368" s="94"/>
      <c r="BK368" s="94"/>
      <c r="BL368" s="94"/>
      <c r="BM368" s="94"/>
      <c r="BN368" s="94"/>
      <c r="BO368" s="94"/>
      <c r="BP368" s="94"/>
      <c r="BQ368" s="94"/>
      <c r="BR368" s="94"/>
      <c r="BS368" s="94"/>
      <c r="BT368" s="94"/>
      <c r="BU368" s="94"/>
    </row>
    <row r="369" spans="62:73" ht="18.75" customHeight="1" x14ac:dyDescent="0.25">
      <c r="BJ369" s="94"/>
      <c r="BK369" s="94"/>
      <c r="BL369" s="94"/>
      <c r="BM369" s="94"/>
      <c r="BN369" s="94"/>
      <c r="BO369" s="94"/>
      <c r="BP369" s="94"/>
      <c r="BQ369" s="94"/>
      <c r="BR369" s="94"/>
      <c r="BS369" s="94"/>
      <c r="BT369" s="94"/>
      <c r="BU369" s="94"/>
    </row>
    <row r="370" spans="62:73" ht="18.75" customHeight="1" x14ac:dyDescent="0.25">
      <c r="BJ370" s="94"/>
      <c r="BK370" s="94"/>
      <c r="BL370" s="94"/>
      <c r="BM370" s="94"/>
      <c r="BN370" s="94"/>
      <c r="BO370" s="94"/>
      <c r="BP370" s="94"/>
      <c r="BQ370" s="94"/>
      <c r="BR370" s="94"/>
      <c r="BS370" s="94"/>
      <c r="BT370" s="94"/>
      <c r="BU370" s="94"/>
    </row>
    <row r="371" spans="62:73" ht="18.75" customHeight="1" x14ac:dyDescent="0.25">
      <c r="BJ371" s="94"/>
      <c r="BK371" s="94"/>
      <c r="BL371" s="94"/>
      <c r="BM371" s="94"/>
      <c r="BN371" s="94"/>
      <c r="BO371" s="94"/>
      <c r="BP371" s="94"/>
      <c r="BQ371" s="94"/>
      <c r="BR371" s="94"/>
      <c r="BS371" s="94"/>
      <c r="BT371" s="94"/>
      <c r="BU371" s="94"/>
    </row>
    <row r="372" spans="62:73" ht="18.75" customHeight="1" x14ac:dyDescent="0.25">
      <c r="BJ372" s="94"/>
      <c r="BK372" s="94"/>
      <c r="BL372" s="94"/>
      <c r="BM372" s="94"/>
      <c r="BN372" s="94"/>
      <c r="BO372" s="94"/>
      <c r="BP372" s="94"/>
      <c r="BQ372" s="94"/>
      <c r="BR372" s="94"/>
      <c r="BS372" s="94"/>
      <c r="BT372" s="94"/>
      <c r="BU372" s="94"/>
    </row>
    <row r="373" spans="62:73" ht="18.75" customHeight="1" x14ac:dyDescent="0.25">
      <c r="BJ373" s="94"/>
      <c r="BK373" s="94"/>
      <c r="BL373" s="94"/>
      <c r="BM373" s="94"/>
      <c r="BN373" s="94"/>
      <c r="BO373" s="94"/>
      <c r="BP373" s="94"/>
      <c r="BQ373" s="94"/>
      <c r="BR373" s="94"/>
      <c r="BS373" s="94"/>
      <c r="BT373" s="94"/>
      <c r="BU373" s="94"/>
    </row>
    <row r="374" spans="62:73" ht="18.75" customHeight="1" x14ac:dyDescent="0.25">
      <c r="BJ374" s="94"/>
      <c r="BK374" s="94"/>
      <c r="BL374" s="94"/>
      <c r="BM374" s="94"/>
      <c r="BN374" s="94"/>
      <c r="BO374" s="94"/>
      <c r="BP374" s="94"/>
      <c r="BQ374" s="94"/>
      <c r="BR374" s="94"/>
      <c r="BS374" s="94"/>
      <c r="BT374" s="94"/>
      <c r="BU374" s="94"/>
    </row>
    <row r="375" spans="62:73" ht="18.75" customHeight="1" x14ac:dyDescent="0.25">
      <c r="BJ375" s="94"/>
      <c r="BK375" s="94"/>
      <c r="BL375" s="94"/>
      <c r="BM375" s="94"/>
      <c r="BN375" s="94"/>
      <c r="BO375" s="94"/>
      <c r="BP375" s="94"/>
      <c r="BQ375" s="94"/>
      <c r="BR375" s="94"/>
      <c r="BS375" s="94"/>
      <c r="BT375" s="94"/>
      <c r="BU375" s="94"/>
    </row>
    <row r="376" spans="62:73" ht="18.75" customHeight="1" x14ac:dyDescent="0.25">
      <c r="BJ376" s="94"/>
      <c r="BK376" s="94"/>
      <c r="BL376" s="94"/>
      <c r="BM376" s="94"/>
      <c r="BN376" s="94"/>
      <c r="BO376" s="94"/>
      <c r="BP376" s="94"/>
      <c r="BQ376" s="94"/>
      <c r="BR376" s="94"/>
      <c r="BS376" s="94"/>
      <c r="BT376" s="94"/>
      <c r="BU376" s="94"/>
    </row>
    <row r="377" spans="62:73" ht="18.75" customHeight="1" x14ac:dyDescent="0.25">
      <c r="BJ377" s="94"/>
      <c r="BK377" s="94"/>
      <c r="BL377" s="94"/>
      <c r="BM377" s="94"/>
      <c r="BN377" s="94"/>
      <c r="BO377" s="94"/>
      <c r="BP377" s="94"/>
      <c r="BQ377" s="94"/>
      <c r="BR377" s="94"/>
      <c r="BS377" s="94"/>
      <c r="BT377" s="94"/>
      <c r="BU377" s="94"/>
    </row>
    <row r="378" spans="62:73" ht="18.75" customHeight="1" x14ac:dyDescent="0.25">
      <c r="BJ378" s="94"/>
      <c r="BK378" s="94"/>
      <c r="BL378" s="94"/>
      <c r="BM378" s="94"/>
      <c r="BN378" s="94"/>
      <c r="BO378" s="94"/>
      <c r="BP378" s="94"/>
      <c r="BQ378" s="94"/>
      <c r="BR378" s="94"/>
      <c r="BS378" s="94"/>
      <c r="BT378" s="94"/>
      <c r="BU378" s="94"/>
    </row>
    <row r="379" spans="62:73" ht="18.75" customHeight="1" x14ac:dyDescent="0.25">
      <c r="BJ379" s="94"/>
      <c r="BK379" s="94"/>
      <c r="BL379" s="94"/>
      <c r="BM379" s="94"/>
      <c r="BN379" s="94"/>
      <c r="BO379" s="94"/>
      <c r="BP379" s="94"/>
      <c r="BQ379" s="94"/>
      <c r="BR379" s="94"/>
      <c r="BS379" s="94"/>
      <c r="BT379" s="94"/>
      <c r="BU379" s="94"/>
    </row>
    <row r="380" spans="62:73" ht="18.75" customHeight="1" x14ac:dyDescent="0.25">
      <c r="BJ380" s="94"/>
      <c r="BK380" s="94"/>
      <c r="BL380" s="94"/>
      <c r="BM380" s="94"/>
      <c r="BN380" s="94"/>
      <c r="BO380" s="94"/>
      <c r="BP380" s="94"/>
      <c r="BQ380" s="94"/>
      <c r="BR380" s="94"/>
      <c r="BS380" s="94"/>
      <c r="BT380" s="94"/>
      <c r="BU380" s="94"/>
    </row>
    <row r="381" spans="62:73" ht="18.75" customHeight="1" x14ac:dyDescent="0.25">
      <c r="BJ381" s="94"/>
      <c r="BK381" s="94"/>
      <c r="BL381" s="94"/>
      <c r="BM381" s="94"/>
      <c r="BN381" s="94"/>
      <c r="BO381" s="94"/>
      <c r="BP381" s="94"/>
      <c r="BQ381" s="94"/>
      <c r="BR381" s="94"/>
      <c r="BS381" s="94"/>
      <c r="BT381" s="94"/>
      <c r="BU381" s="94"/>
    </row>
    <row r="382" spans="62:73" ht="18.75" customHeight="1" x14ac:dyDescent="0.25">
      <c r="BJ382" s="94"/>
      <c r="BK382" s="94"/>
      <c r="BL382" s="94"/>
      <c r="BM382" s="94"/>
      <c r="BN382" s="94"/>
      <c r="BO382" s="94"/>
      <c r="BP382" s="94"/>
      <c r="BQ382" s="94"/>
      <c r="BR382" s="94"/>
      <c r="BS382" s="94"/>
      <c r="BT382" s="94"/>
      <c r="BU382" s="94"/>
    </row>
    <row r="383" spans="62:73" ht="18.75" customHeight="1" x14ac:dyDescent="0.25">
      <c r="BJ383" s="94"/>
      <c r="BK383" s="94"/>
      <c r="BL383" s="94"/>
      <c r="BM383" s="94"/>
      <c r="BN383" s="94"/>
      <c r="BO383" s="94"/>
      <c r="BP383" s="94"/>
      <c r="BQ383" s="94"/>
      <c r="BR383" s="94"/>
      <c r="BS383" s="94"/>
      <c r="BT383" s="94"/>
      <c r="BU383" s="94"/>
    </row>
    <row r="384" spans="62:73" ht="18.75" customHeight="1" x14ac:dyDescent="0.25">
      <c r="BJ384" s="94"/>
      <c r="BK384" s="94"/>
      <c r="BL384" s="94"/>
      <c r="BM384" s="94"/>
      <c r="BN384" s="94"/>
      <c r="BO384" s="94"/>
      <c r="BP384" s="94"/>
      <c r="BQ384" s="94"/>
      <c r="BR384" s="94"/>
      <c r="BS384" s="94"/>
      <c r="BT384" s="94"/>
      <c r="BU384" s="94"/>
    </row>
    <row r="385" spans="62:73" ht="18.75" customHeight="1" x14ac:dyDescent="0.25">
      <c r="BJ385" s="94"/>
      <c r="BK385" s="94"/>
      <c r="BL385" s="94"/>
      <c r="BM385" s="94"/>
      <c r="BN385" s="94"/>
      <c r="BO385" s="94"/>
      <c r="BP385" s="94"/>
      <c r="BQ385" s="94"/>
      <c r="BR385" s="94"/>
      <c r="BS385" s="94"/>
      <c r="BT385" s="94"/>
      <c r="BU385" s="94"/>
    </row>
    <row r="386" spans="62:73" ht="18.75" customHeight="1" x14ac:dyDescent="0.25">
      <c r="BJ386" s="94"/>
      <c r="BK386" s="94"/>
      <c r="BL386" s="94"/>
      <c r="BM386" s="94"/>
      <c r="BN386" s="94"/>
      <c r="BO386" s="94"/>
      <c r="BP386" s="94"/>
      <c r="BQ386" s="94"/>
      <c r="BR386" s="94"/>
      <c r="BS386" s="94"/>
      <c r="BT386" s="94"/>
      <c r="BU386" s="94"/>
    </row>
    <row r="387" spans="62:73" ht="18.75" customHeight="1" x14ac:dyDescent="0.25">
      <c r="BJ387" s="94"/>
      <c r="BK387" s="94"/>
      <c r="BL387" s="94"/>
      <c r="BM387" s="94"/>
      <c r="BN387" s="94"/>
      <c r="BO387" s="94"/>
      <c r="BP387" s="94"/>
      <c r="BQ387" s="94"/>
      <c r="BR387" s="94"/>
      <c r="BS387" s="94"/>
      <c r="BT387" s="94"/>
      <c r="BU387" s="94"/>
    </row>
    <row r="388" spans="62:73" ht="18.75" customHeight="1" x14ac:dyDescent="0.25">
      <c r="BJ388" s="94"/>
      <c r="BK388" s="94"/>
      <c r="BL388" s="94"/>
      <c r="BM388" s="94"/>
      <c r="BN388" s="94"/>
      <c r="BO388" s="94"/>
      <c r="BP388" s="94"/>
      <c r="BQ388" s="94"/>
      <c r="BR388" s="94"/>
      <c r="BS388" s="94"/>
      <c r="BT388" s="94"/>
      <c r="BU388" s="94"/>
    </row>
    <row r="389" spans="62:73" ht="18.75" customHeight="1" x14ac:dyDescent="0.25">
      <c r="BJ389" s="94"/>
      <c r="BK389" s="94"/>
      <c r="BL389" s="94"/>
      <c r="BM389" s="94"/>
      <c r="BN389" s="94"/>
      <c r="BO389" s="94"/>
      <c r="BP389" s="94"/>
      <c r="BQ389" s="94"/>
      <c r="BR389" s="94"/>
      <c r="BS389" s="94"/>
      <c r="BT389" s="94"/>
      <c r="BU389" s="94"/>
    </row>
    <row r="390" spans="62:73" ht="18.75" customHeight="1" x14ac:dyDescent="0.25">
      <c r="BJ390" s="94"/>
      <c r="BK390" s="94"/>
      <c r="BL390" s="94"/>
      <c r="BM390" s="94"/>
      <c r="BN390" s="94"/>
      <c r="BO390" s="94"/>
      <c r="BP390" s="94"/>
      <c r="BQ390" s="94"/>
      <c r="BR390" s="94"/>
      <c r="BS390" s="94"/>
      <c r="BT390" s="94"/>
      <c r="BU390" s="94"/>
    </row>
    <row r="391" spans="62:73" ht="18.75" customHeight="1" x14ac:dyDescent="0.25">
      <c r="BJ391" s="94"/>
      <c r="BK391" s="94"/>
      <c r="BL391" s="94"/>
      <c r="BM391" s="94"/>
      <c r="BN391" s="94"/>
      <c r="BO391" s="94"/>
      <c r="BP391" s="94"/>
      <c r="BQ391" s="94"/>
      <c r="BR391" s="94"/>
      <c r="BS391" s="94"/>
      <c r="BT391" s="94"/>
      <c r="BU391" s="94"/>
    </row>
    <row r="392" spans="62:73" ht="18.75" customHeight="1" x14ac:dyDescent="0.25">
      <c r="BJ392" s="94"/>
      <c r="BK392" s="94"/>
      <c r="BL392" s="94"/>
      <c r="BM392" s="94"/>
      <c r="BN392" s="94"/>
      <c r="BO392" s="94"/>
      <c r="BP392" s="94"/>
      <c r="BQ392" s="94"/>
      <c r="BR392" s="94"/>
      <c r="BS392" s="94"/>
      <c r="BT392" s="94"/>
      <c r="BU392" s="94"/>
    </row>
    <row r="393" spans="62:73" ht="18.75" customHeight="1" x14ac:dyDescent="0.25">
      <c r="BJ393" s="94"/>
      <c r="BK393" s="94"/>
      <c r="BL393" s="94"/>
      <c r="BM393" s="94"/>
      <c r="BN393" s="94"/>
      <c r="BO393" s="94"/>
      <c r="BP393" s="94"/>
      <c r="BQ393" s="94"/>
      <c r="BR393" s="94"/>
      <c r="BS393" s="94"/>
      <c r="BT393" s="94"/>
      <c r="BU393" s="94"/>
    </row>
    <row r="394" spans="62:73" ht="18.75" customHeight="1" x14ac:dyDescent="0.25">
      <c r="BJ394" s="94"/>
      <c r="BK394" s="94"/>
      <c r="BL394" s="94"/>
      <c r="BM394" s="94"/>
      <c r="BN394" s="94"/>
      <c r="BO394" s="94"/>
      <c r="BP394" s="94"/>
      <c r="BQ394" s="94"/>
      <c r="BR394" s="94"/>
      <c r="BS394" s="94"/>
      <c r="BT394" s="94"/>
      <c r="BU394" s="94"/>
    </row>
    <row r="395" spans="62:73" ht="18.75" customHeight="1" x14ac:dyDescent="0.25">
      <c r="BJ395" s="94"/>
      <c r="BK395" s="94"/>
      <c r="BL395" s="94"/>
      <c r="BM395" s="94"/>
      <c r="BN395" s="94"/>
      <c r="BO395" s="94"/>
      <c r="BP395" s="94"/>
      <c r="BQ395" s="94"/>
      <c r="BR395" s="94"/>
      <c r="BS395" s="94"/>
      <c r="BT395" s="94"/>
      <c r="BU395" s="94"/>
    </row>
    <row r="396" spans="62:73" ht="18.75" customHeight="1" x14ac:dyDescent="0.25">
      <c r="BJ396" s="94"/>
      <c r="BK396" s="94"/>
      <c r="BL396" s="94"/>
      <c r="BM396" s="94"/>
      <c r="BN396" s="94"/>
      <c r="BO396" s="94"/>
      <c r="BP396" s="94"/>
      <c r="BQ396" s="94"/>
      <c r="BR396" s="94"/>
      <c r="BS396" s="94"/>
      <c r="BT396" s="94"/>
      <c r="BU396" s="94"/>
    </row>
    <row r="397" spans="62:73" ht="18.75" customHeight="1" x14ac:dyDescent="0.25">
      <c r="BJ397" s="94"/>
      <c r="BK397" s="94"/>
      <c r="BL397" s="94"/>
      <c r="BM397" s="94"/>
      <c r="BN397" s="94"/>
      <c r="BO397" s="94"/>
      <c r="BP397" s="94"/>
      <c r="BQ397" s="94"/>
      <c r="BR397" s="94"/>
      <c r="BS397" s="94"/>
      <c r="BT397" s="94"/>
      <c r="BU397" s="94"/>
    </row>
    <row r="398" spans="62:73" ht="18.75" customHeight="1" x14ac:dyDescent="0.25">
      <c r="BJ398" s="94"/>
      <c r="BK398" s="94"/>
      <c r="BL398" s="94"/>
      <c r="BM398" s="94"/>
      <c r="BN398" s="94"/>
      <c r="BO398" s="94"/>
      <c r="BP398" s="94"/>
      <c r="BQ398" s="94"/>
      <c r="BR398" s="94"/>
      <c r="BS398" s="94"/>
      <c r="BT398" s="94"/>
      <c r="BU398" s="94"/>
    </row>
    <row r="399" spans="62:73" ht="18.75" customHeight="1" x14ac:dyDescent="0.25">
      <c r="BJ399" s="94"/>
      <c r="BK399" s="94"/>
      <c r="BL399" s="94"/>
      <c r="BM399" s="94"/>
      <c r="BN399" s="94"/>
      <c r="BO399" s="94"/>
      <c r="BP399" s="94"/>
      <c r="BQ399" s="94"/>
      <c r="BR399" s="94"/>
      <c r="BS399" s="94"/>
      <c r="BT399" s="94"/>
      <c r="BU399" s="94"/>
    </row>
    <row r="400" spans="62:73" ht="18.75" customHeight="1" x14ac:dyDescent="0.25">
      <c r="BJ400" s="94"/>
      <c r="BK400" s="94"/>
      <c r="BL400" s="94"/>
      <c r="BM400" s="94"/>
      <c r="BN400" s="94"/>
      <c r="BO400" s="94"/>
      <c r="BP400" s="94"/>
      <c r="BQ400" s="94"/>
      <c r="BR400" s="94"/>
      <c r="BS400" s="94"/>
      <c r="BT400" s="94"/>
      <c r="BU400" s="94"/>
    </row>
    <row r="401" spans="62:73" ht="18.75" customHeight="1" x14ac:dyDescent="0.25">
      <c r="BJ401" s="94"/>
      <c r="BK401" s="94"/>
      <c r="BL401" s="94"/>
      <c r="BM401" s="94"/>
      <c r="BN401" s="94"/>
      <c r="BO401" s="94"/>
      <c r="BP401" s="94"/>
      <c r="BQ401" s="94"/>
      <c r="BR401" s="94"/>
      <c r="BS401" s="94"/>
      <c r="BT401" s="94"/>
      <c r="BU401" s="94"/>
    </row>
    <row r="402" spans="62:73" ht="18.75" customHeight="1" x14ac:dyDescent="0.25">
      <c r="BJ402" s="94"/>
      <c r="BK402" s="94"/>
      <c r="BL402" s="94"/>
      <c r="BM402" s="94"/>
      <c r="BN402" s="94"/>
      <c r="BO402" s="94"/>
      <c r="BP402" s="94"/>
      <c r="BQ402" s="94"/>
      <c r="BR402" s="94"/>
      <c r="BS402" s="94"/>
      <c r="BT402" s="94"/>
      <c r="BU402" s="94"/>
    </row>
    <row r="403" spans="62:73" ht="18.75" customHeight="1" x14ac:dyDescent="0.25">
      <c r="BJ403" s="94"/>
      <c r="BK403" s="94"/>
      <c r="BL403" s="94"/>
      <c r="BM403" s="94"/>
      <c r="BN403" s="94"/>
      <c r="BO403" s="94"/>
      <c r="BP403" s="94"/>
      <c r="BQ403" s="94"/>
      <c r="BR403" s="94"/>
      <c r="BS403" s="94"/>
      <c r="BT403" s="94"/>
      <c r="BU403" s="94"/>
    </row>
    <row r="404" spans="62:73" ht="18.75" customHeight="1" x14ac:dyDescent="0.25">
      <c r="BJ404" s="94"/>
      <c r="BK404" s="94"/>
      <c r="BL404" s="94"/>
      <c r="BM404" s="94"/>
      <c r="BN404" s="94"/>
      <c r="BO404" s="94"/>
      <c r="BP404" s="94"/>
      <c r="BQ404" s="94"/>
      <c r="BR404" s="94"/>
      <c r="BS404" s="94"/>
      <c r="BT404" s="94"/>
      <c r="BU404" s="94"/>
    </row>
    <row r="405" spans="62:73" ht="18.75" customHeight="1" x14ac:dyDescent="0.25">
      <c r="BJ405" s="94"/>
      <c r="BK405" s="94"/>
      <c r="BL405" s="94"/>
      <c r="BM405" s="94"/>
      <c r="BN405" s="94"/>
      <c r="BO405" s="94"/>
      <c r="BP405" s="94"/>
      <c r="BQ405" s="94"/>
      <c r="BR405" s="94"/>
      <c r="BS405" s="94"/>
      <c r="BT405" s="94"/>
      <c r="BU405" s="94"/>
    </row>
    <row r="406" spans="62:73" ht="18.75" customHeight="1" x14ac:dyDescent="0.25">
      <c r="BJ406" s="94"/>
      <c r="BK406" s="94"/>
      <c r="BL406" s="94"/>
      <c r="BM406" s="94"/>
      <c r="BN406" s="94"/>
      <c r="BO406" s="94"/>
      <c r="BP406" s="94"/>
      <c r="BQ406" s="94"/>
      <c r="BR406" s="94"/>
      <c r="BS406" s="94"/>
      <c r="BT406" s="94"/>
      <c r="BU406" s="94"/>
    </row>
    <row r="407" spans="62:73" ht="18.75" customHeight="1" x14ac:dyDescent="0.25">
      <c r="BJ407" s="94"/>
      <c r="BK407" s="94"/>
      <c r="BL407" s="94"/>
      <c r="BM407" s="94"/>
      <c r="BN407" s="94"/>
      <c r="BO407" s="94"/>
      <c r="BP407" s="94"/>
      <c r="BQ407" s="94"/>
      <c r="BR407" s="94"/>
      <c r="BS407" s="94"/>
      <c r="BT407" s="94"/>
      <c r="BU407" s="94"/>
    </row>
    <row r="408" spans="62:73" ht="18.75" customHeight="1" x14ac:dyDescent="0.25">
      <c r="BJ408" s="94"/>
      <c r="BK408" s="94"/>
      <c r="BL408" s="94"/>
      <c r="BM408" s="94"/>
      <c r="BN408" s="94"/>
      <c r="BO408" s="94"/>
      <c r="BP408" s="94"/>
      <c r="BQ408" s="94"/>
      <c r="BR408" s="94"/>
      <c r="BS408" s="94"/>
      <c r="BT408" s="94"/>
      <c r="BU408" s="94"/>
    </row>
    <row r="409" spans="62:73" ht="18.75" customHeight="1" x14ac:dyDescent="0.25">
      <c r="BJ409" s="94"/>
      <c r="BK409" s="94"/>
      <c r="BL409" s="94"/>
      <c r="BM409" s="94"/>
      <c r="BN409" s="94"/>
      <c r="BO409" s="94"/>
      <c r="BP409" s="94"/>
      <c r="BQ409" s="94"/>
      <c r="BR409" s="94"/>
      <c r="BS409" s="94"/>
      <c r="BT409" s="94"/>
      <c r="BU409" s="94"/>
    </row>
    <row r="410" spans="62:73" ht="18.75" customHeight="1" x14ac:dyDescent="0.25">
      <c r="BJ410" s="94"/>
      <c r="BK410" s="94"/>
      <c r="BL410" s="94"/>
      <c r="BM410" s="94"/>
      <c r="BN410" s="94"/>
      <c r="BO410" s="94"/>
      <c r="BP410" s="94"/>
      <c r="BQ410" s="94"/>
      <c r="BR410" s="94"/>
      <c r="BS410" s="94"/>
      <c r="BT410" s="94"/>
      <c r="BU410" s="94"/>
    </row>
    <row r="411" spans="62:73" ht="18.75" customHeight="1" x14ac:dyDescent="0.25">
      <c r="BJ411" s="94"/>
      <c r="BK411" s="94"/>
      <c r="BL411" s="94"/>
      <c r="BM411" s="94"/>
      <c r="BN411" s="94"/>
      <c r="BO411" s="94"/>
      <c r="BP411" s="94"/>
      <c r="BQ411" s="94"/>
      <c r="BR411" s="94"/>
      <c r="BS411" s="94"/>
      <c r="BT411" s="94"/>
      <c r="BU411" s="94"/>
    </row>
    <row r="412" spans="62:73" ht="18.75" customHeight="1" x14ac:dyDescent="0.25">
      <c r="BJ412" s="94"/>
      <c r="BK412" s="94"/>
      <c r="BL412" s="94"/>
      <c r="BM412" s="94"/>
      <c r="BN412" s="94"/>
      <c r="BO412" s="94"/>
      <c r="BP412" s="94"/>
      <c r="BQ412" s="94"/>
      <c r="BR412" s="94"/>
      <c r="BS412" s="94"/>
      <c r="BT412" s="94"/>
      <c r="BU412" s="94"/>
    </row>
    <row r="413" spans="62:73" ht="18.75" customHeight="1" x14ac:dyDescent="0.25">
      <c r="BJ413" s="94"/>
      <c r="BK413" s="94"/>
      <c r="BL413" s="94"/>
      <c r="BM413" s="94"/>
      <c r="BN413" s="94"/>
      <c r="BO413" s="94"/>
      <c r="BP413" s="94"/>
      <c r="BQ413" s="94"/>
      <c r="BR413" s="94"/>
      <c r="BS413" s="94"/>
      <c r="BT413" s="94"/>
      <c r="BU413" s="94"/>
    </row>
    <row r="414" spans="62:73" ht="18.75" customHeight="1" x14ac:dyDescent="0.25">
      <c r="BJ414" s="94"/>
      <c r="BK414" s="94"/>
      <c r="BL414" s="94"/>
      <c r="BM414" s="94"/>
      <c r="BN414" s="94"/>
      <c r="BO414" s="94"/>
      <c r="BP414" s="94"/>
      <c r="BQ414" s="94"/>
      <c r="BR414" s="94"/>
      <c r="BS414" s="94"/>
      <c r="BT414" s="94"/>
      <c r="BU414" s="94"/>
    </row>
    <row r="415" spans="62:73" ht="18.75" customHeight="1" x14ac:dyDescent="0.25">
      <c r="BJ415" s="94"/>
      <c r="BK415" s="94"/>
      <c r="BL415" s="94"/>
      <c r="BM415" s="94"/>
      <c r="BN415" s="94"/>
      <c r="BO415" s="94"/>
      <c r="BP415" s="94"/>
      <c r="BQ415" s="94"/>
      <c r="BR415" s="94"/>
      <c r="BS415" s="94"/>
      <c r="BT415" s="94"/>
      <c r="BU415" s="94"/>
    </row>
    <row r="416" spans="62:73" ht="18.75" customHeight="1" x14ac:dyDescent="0.25">
      <c r="BJ416" s="94"/>
      <c r="BK416" s="94"/>
      <c r="BL416" s="94"/>
      <c r="BM416" s="94"/>
      <c r="BN416" s="94"/>
      <c r="BO416" s="94"/>
      <c r="BP416" s="94"/>
      <c r="BQ416" s="94"/>
      <c r="BR416" s="94"/>
      <c r="BS416" s="94"/>
      <c r="BT416" s="94"/>
      <c r="BU416" s="94"/>
    </row>
    <row r="417" spans="62:73" ht="18.75" customHeight="1" x14ac:dyDescent="0.25">
      <c r="BJ417" s="94"/>
      <c r="BK417" s="94"/>
      <c r="BL417" s="94"/>
      <c r="BM417" s="94"/>
      <c r="BN417" s="94"/>
      <c r="BO417" s="94"/>
      <c r="BP417" s="94"/>
      <c r="BQ417" s="94"/>
      <c r="BR417" s="94"/>
      <c r="BS417" s="94"/>
      <c r="BT417" s="94"/>
      <c r="BU417" s="94"/>
    </row>
    <row r="418" spans="62:73" ht="18.75" customHeight="1" x14ac:dyDescent="0.25">
      <c r="BJ418" s="94"/>
      <c r="BK418" s="94"/>
      <c r="BL418" s="94"/>
      <c r="BM418" s="94"/>
      <c r="BN418" s="94"/>
      <c r="BO418" s="94"/>
      <c r="BP418" s="94"/>
      <c r="BQ418" s="94"/>
      <c r="BR418" s="94"/>
      <c r="BS418" s="94"/>
      <c r="BT418" s="94"/>
      <c r="BU418" s="94"/>
    </row>
    <row r="419" spans="62:73" ht="18.75" customHeight="1" x14ac:dyDescent="0.25">
      <c r="BJ419" s="94"/>
      <c r="BK419" s="94"/>
      <c r="BL419" s="94"/>
      <c r="BM419" s="94"/>
      <c r="BN419" s="94"/>
      <c r="BO419" s="94"/>
      <c r="BP419" s="94"/>
      <c r="BQ419" s="94"/>
      <c r="BR419" s="94"/>
      <c r="BS419" s="94"/>
      <c r="BT419" s="94"/>
      <c r="BU419" s="94"/>
    </row>
    <row r="420" spans="62:73" ht="18.75" customHeight="1" x14ac:dyDescent="0.25">
      <c r="BJ420" s="94"/>
      <c r="BK420" s="94"/>
      <c r="BL420" s="94"/>
      <c r="BM420" s="94"/>
      <c r="BN420" s="94"/>
      <c r="BO420" s="94"/>
      <c r="BP420" s="94"/>
      <c r="BQ420" s="94"/>
      <c r="BR420" s="94"/>
      <c r="BS420" s="94"/>
      <c r="BT420" s="94"/>
      <c r="BU420" s="94"/>
    </row>
    <row r="421" spans="62:73" ht="18.75" customHeight="1" x14ac:dyDescent="0.25">
      <c r="BJ421" s="94"/>
      <c r="BK421" s="94"/>
      <c r="BL421" s="94"/>
      <c r="BM421" s="94"/>
      <c r="BN421" s="94"/>
      <c r="BO421" s="94"/>
      <c r="BP421" s="94"/>
      <c r="BQ421" s="94"/>
      <c r="BR421" s="94"/>
      <c r="BS421" s="94"/>
      <c r="BT421" s="94"/>
      <c r="BU421" s="94"/>
    </row>
    <row r="422" spans="62:73" ht="18.75" customHeight="1" x14ac:dyDescent="0.25">
      <c r="BJ422" s="94"/>
      <c r="BK422" s="94"/>
      <c r="BL422" s="94"/>
      <c r="BM422" s="94"/>
      <c r="BN422" s="94"/>
      <c r="BO422" s="94"/>
      <c r="BP422" s="94"/>
      <c r="BQ422" s="94"/>
      <c r="BR422" s="94"/>
      <c r="BS422" s="94"/>
      <c r="BT422" s="94"/>
      <c r="BU422" s="94"/>
    </row>
    <row r="423" spans="62:73" ht="18.75" customHeight="1" x14ac:dyDescent="0.25">
      <c r="BJ423" s="94"/>
      <c r="BK423" s="94"/>
      <c r="BL423" s="94"/>
      <c r="BM423" s="94"/>
      <c r="BN423" s="94"/>
      <c r="BO423" s="94"/>
      <c r="BP423" s="94"/>
      <c r="BQ423" s="94"/>
      <c r="BR423" s="94"/>
      <c r="BS423" s="94"/>
      <c r="BT423" s="94"/>
      <c r="BU423" s="94"/>
    </row>
    <row r="424" spans="62:73" ht="18.75" customHeight="1" x14ac:dyDescent="0.25">
      <c r="BJ424" s="94"/>
      <c r="BK424" s="94"/>
      <c r="BL424" s="94"/>
      <c r="BM424" s="94"/>
      <c r="BN424" s="94"/>
      <c r="BO424" s="94"/>
      <c r="BP424" s="94"/>
      <c r="BQ424" s="94"/>
      <c r="BR424" s="94"/>
      <c r="BS424" s="94"/>
      <c r="BT424" s="94"/>
      <c r="BU424" s="94"/>
    </row>
    <row r="425" spans="62:73" ht="18.75" customHeight="1" x14ac:dyDescent="0.25">
      <c r="BJ425" s="94"/>
      <c r="BK425" s="94"/>
      <c r="BL425" s="94"/>
      <c r="BM425" s="94"/>
      <c r="BN425" s="94"/>
      <c r="BO425" s="94"/>
      <c r="BP425" s="94"/>
      <c r="BQ425" s="94"/>
      <c r="BR425" s="94"/>
      <c r="BS425" s="94"/>
      <c r="BT425" s="94"/>
      <c r="BU425" s="94"/>
    </row>
    <row r="426" spans="62:73" ht="18.75" customHeight="1" x14ac:dyDescent="0.25">
      <c r="BJ426" s="94"/>
      <c r="BK426" s="94"/>
      <c r="BL426" s="94"/>
      <c r="BM426" s="94"/>
      <c r="BN426" s="94"/>
      <c r="BO426" s="94"/>
      <c r="BP426" s="94"/>
      <c r="BQ426" s="94"/>
      <c r="BR426" s="94"/>
      <c r="BS426" s="94"/>
      <c r="BT426" s="94"/>
      <c r="BU426" s="94"/>
    </row>
    <row r="427" spans="62:73" ht="18.75" customHeight="1" x14ac:dyDescent="0.25">
      <c r="BJ427" s="94"/>
      <c r="BK427" s="94"/>
      <c r="BL427" s="94"/>
      <c r="BM427" s="94"/>
      <c r="BN427" s="94"/>
      <c r="BO427" s="94"/>
      <c r="BP427" s="94"/>
      <c r="BQ427" s="94"/>
      <c r="BR427" s="94"/>
      <c r="BS427" s="94"/>
      <c r="BT427" s="94"/>
      <c r="BU427" s="94"/>
    </row>
    <row r="428" spans="62:73" ht="18.75" customHeight="1" x14ac:dyDescent="0.25">
      <c r="BJ428" s="94"/>
      <c r="BK428" s="94"/>
      <c r="BL428" s="94"/>
      <c r="BM428" s="94"/>
      <c r="BN428" s="94"/>
      <c r="BO428" s="94"/>
      <c r="BP428" s="94"/>
      <c r="BQ428" s="94"/>
      <c r="BR428" s="94"/>
      <c r="BS428" s="94"/>
      <c r="BT428" s="94"/>
      <c r="BU428" s="94"/>
    </row>
    <row r="429" spans="62:73" ht="18.75" customHeight="1" x14ac:dyDescent="0.25">
      <c r="BJ429" s="94"/>
      <c r="BK429" s="94"/>
      <c r="BL429" s="94"/>
      <c r="BM429" s="94"/>
      <c r="BN429" s="94"/>
      <c r="BO429" s="94"/>
      <c r="BP429" s="94"/>
      <c r="BQ429" s="94"/>
      <c r="BR429" s="94"/>
      <c r="BS429" s="94"/>
      <c r="BT429" s="94"/>
      <c r="BU429" s="94"/>
    </row>
    <row r="430" spans="62:73" ht="18.75" customHeight="1" x14ac:dyDescent="0.25">
      <c r="BJ430" s="94"/>
      <c r="BK430" s="94"/>
      <c r="BL430" s="94"/>
      <c r="BM430" s="94"/>
      <c r="BN430" s="94"/>
      <c r="BO430" s="94"/>
      <c r="BP430" s="94"/>
      <c r="BQ430" s="94"/>
      <c r="BR430" s="94"/>
      <c r="BS430" s="94"/>
      <c r="BT430" s="94"/>
      <c r="BU430" s="94"/>
    </row>
    <row r="431" spans="62:73" ht="18.75" customHeight="1" x14ac:dyDescent="0.25">
      <c r="BJ431" s="94"/>
      <c r="BK431" s="94"/>
      <c r="BL431" s="94"/>
      <c r="BM431" s="94"/>
      <c r="BN431" s="94"/>
      <c r="BO431" s="94"/>
      <c r="BP431" s="94"/>
      <c r="BQ431" s="94"/>
      <c r="BR431" s="94"/>
      <c r="BS431" s="94"/>
      <c r="BT431" s="94"/>
      <c r="BU431" s="94"/>
    </row>
    <row r="432" spans="62:73" ht="18.75" customHeight="1" x14ac:dyDescent="0.25">
      <c r="BJ432" s="94"/>
      <c r="BK432" s="94"/>
      <c r="BL432" s="94"/>
      <c r="BM432" s="94"/>
      <c r="BN432" s="94"/>
      <c r="BO432" s="94"/>
      <c r="BP432" s="94"/>
      <c r="BQ432" s="94"/>
      <c r="BR432" s="94"/>
      <c r="BS432" s="94"/>
      <c r="BT432" s="94"/>
      <c r="BU432" s="94"/>
    </row>
    <row r="433" spans="62:73" ht="18.75" customHeight="1" x14ac:dyDescent="0.25">
      <c r="BJ433" s="94"/>
      <c r="BK433" s="94"/>
      <c r="BL433" s="94"/>
      <c r="BM433" s="94"/>
      <c r="BN433" s="94"/>
      <c r="BO433" s="94"/>
      <c r="BP433" s="94"/>
      <c r="BQ433" s="94"/>
      <c r="BR433" s="94"/>
      <c r="BS433" s="94"/>
      <c r="BT433" s="94"/>
      <c r="BU433" s="94"/>
    </row>
    <row r="434" spans="62:73" ht="18.75" customHeight="1" x14ac:dyDescent="0.25">
      <c r="BJ434" s="94"/>
      <c r="BK434" s="94"/>
      <c r="BL434" s="94"/>
      <c r="BM434" s="94"/>
      <c r="BN434" s="94"/>
      <c r="BO434" s="94"/>
      <c r="BP434" s="94"/>
      <c r="BQ434" s="94"/>
      <c r="BR434" s="94"/>
      <c r="BS434" s="94"/>
      <c r="BT434" s="94"/>
      <c r="BU434" s="94"/>
    </row>
    <row r="435" spans="62:73" ht="18.75" customHeight="1" x14ac:dyDescent="0.25">
      <c r="BJ435" s="94"/>
      <c r="BK435" s="94"/>
      <c r="BL435" s="94"/>
      <c r="BM435" s="94"/>
      <c r="BN435" s="94"/>
      <c r="BO435" s="94"/>
      <c r="BP435" s="94"/>
      <c r="BQ435" s="94"/>
      <c r="BR435" s="94"/>
      <c r="BS435" s="94"/>
      <c r="BT435" s="94"/>
      <c r="BU435" s="94"/>
    </row>
    <row r="436" spans="62:73" ht="18.75" customHeight="1" x14ac:dyDescent="0.25">
      <c r="BJ436" s="94"/>
      <c r="BK436" s="94"/>
      <c r="BL436" s="94"/>
      <c r="BM436" s="94"/>
      <c r="BN436" s="94"/>
      <c r="BO436" s="94"/>
      <c r="BP436" s="94"/>
      <c r="BQ436" s="94"/>
      <c r="BR436" s="94"/>
      <c r="BS436" s="94"/>
      <c r="BT436" s="94"/>
      <c r="BU436" s="94"/>
    </row>
    <row r="437" spans="62:73" ht="18.75" customHeight="1" x14ac:dyDescent="0.25">
      <c r="BJ437" s="94"/>
      <c r="BK437" s="94"/>
      <c r="BL437" s="94"/>
      <c r="BM437" s="94"/>
      <c r="BN437" s="94"/>
      <c r="BO437" s="94"/>
      <c r="BP437" s="94"/>
      <c r="BQ437" s="94"/>
      <c r="BR437" s="94"/>
      <c r="BS437" s="94"/>
      <c r="BT437" s="94"/>
      <c r="BU437" s="94"/>
    </row>
    <row r="438" spans="62:73" ht="18.75" customHeight="1" x14ac:dyDescent="0.25">
      <c r="BJ438" s="94"/>
      <c r="BK438" s="94"/>
      <c r="BL438" s="94"/>
      <c r="BM438" s="94"/>
      <c r="BN438" s="94"/>
      <c r="BO438" s="94"/>
      <c r="BP438" s="94"/>
      <c r="BQ438" s="94"/>
      <c r="BR438" s="94"/>
      <c r="BS438" s="94"/>
      <c r="BT438" s="94"/>
      <c r="BU438" s="94"/>
    </row>
    <row r="439" spans="62:73" ht="18.75" customHeight="1" x14ac:dyDescent="0.25">
      <c r="BJ439" s="94"/>
      <c r="BK439" s="94"/>
      <c r="BL439" s="94"/>
      <c r="BM439" s="94"/>
      <c r="BN439" s="94"/>
      <c r="BO439" s="94"/>
      <c r="BP439" s="94"/>
      <c r="BQ439" s="94"/>
      <c r="BR439" s="94"/>
      <c r="BS439" s="94"/>
      <c r="BT439" s="94"/>
      <c r="BU439" s="94"/>
    </row>
    <row r="440" spans="62:73" ht="18.75" customHeight="1" x14ac:dyDescent="0.25">
      <c r="BJ440" s="94"/>
      <c r="BK440" s="94"/>
      <c r="BL440" s="94"/>
      <c r="BM440" s="94"/>
      <c r="BN440" s="94"/>
      <c r="BO440" s="94"/>
      <c r="BP440" s="94"/>
      <c r="BQ440" s="94"/>
      <c r="BR440" s="94"/>
      <c r="BS440" s="94"/>
      <c r="BT440" s="94"/>
      <c r="BU440" s="94"/>
    </row>
    <row r="441" spans="62:73" ht="18.75" customHeight="1" x14ac:dyDescent="0.25">
      <c r="BJ441" s="94"/>
      <c r="BK441" s="94"/>
      <c r="BL441" s="94"/>
      <c r="BM441" s="94"/>
      <c r="BN441" s="94"/>
      <c r="BO441" s="94"/>
      <c r="BP441" s="94"/>
      <c r="BQ441" s="94"/>
      <c r="BR441" s="94"/>
      <c r="BS441" s="94"/>
      <c r="BT441" s="94"/>
      <c r="BU441" s="94"/>
    </row>
    <row r="442" spans="62:73" ht="18.75" customHeight="1" x14ac:dyDescent="0.25">
      <c r="BJ442" s="94"/>
      <c r="BK442" s="94"/>
      <c r="BL442" s="94"/>
      <c r="BM442" s="94"/>
      <c r="BN442" s="94"/>
      <c r="BO442" s="94"/>
      <c r="BP442" s="94"/>
      <c r="BQ442" s="94"/>
      <c r="BR442" s="94"/>
      <c r="BS442" s="94"/>
      <c r="BT442" s="94"/>
      <c r="BU442" s="94"/>
    </row>
    <row r="443" spans="62:73" ht="18.75" customHeight="1" x14ac:dyDescent="0.25">
      <c r="BJ443" s="94"/>
      <c r="BK443" s="94"/>
      <c r="BL443" s="94"/>
      <c r="BM443" s="94"/>
      <c r="BN443" s="94"/>
      <c r="BO443" s="94"/>
      <c r="BP443" s="94"/>
      <c r="BQ443" s="94"/>
      <c r="BR443" s="94"/>
      <c r="BS443" s="94"/>
      <c r="BT443" s="94"/>
      <c r="BU443" s="94"/>
    </row>
    <row r="444" spans="62:73" ht="18.75" customHeight="1" x14ac:dyDescent="0.25">
      <c r="BJ444" s="94"/>
      <c r="BK444" s="94"/>
      <c r="BL444" s="94"/>
      <c r="BM444" s="94"/>
      <c r="BN444" s="94"/>
      <c r="BO444" s="94"/>
      <c r="BP444" s="94"/>
      <c r="BQ444" s="94"/>
      <c r="BR444" s="94"/>
      <c r="BS444" s="94"/>
      <c r="BT444" s="94"/>
      <c r="BU444" s="94"/>
    </row>
    <row r="445" spans="62:73" ht="18.75" customHeight="1" x14ac:dyDescent="0.25">
      <c r="BJ445" s="94"/>
      <c r="BK445" s="94"/>
      <c r="BL445" s="94"/>
      <c r="BM445" s="94"/>
      <c r="BN445" s="94"/>
      <c r="BO445" s="94"/>
      <c r="BP445" s="94"/>
      <c r="BQ445" s="94"/>
      <c r="BR445" s="94"/>
      <c r="BS445" s="94"/>
      <c r="BT445" s="94"/>
      <c r="BU445" s="94"/>
    </row>
    <row r="446" spans="62:73" ht="18.75" customHeight="1" x14ac:dyDescent="0.25">
      <c r="BJ446" s="94"/>
      <c r="BK446" s="94"/>
      <c r="BL446" s="94"/>
      <c r="BM446" s="94"/>
      <c r="BN446" s="94"/>
      <c r="BO446" s="94"/>
      <c r="BP446" s="94"/>
      <c r="BQ446" s="94"/>
      <c r="BR446" s="94"/>
      <c r="BS446" s="94"/>
      <c r="BT446" s="94"/>
      <c r="BU446" s="94"/>
    </row>
    <row r="447" spans="62:73" ht="18.75" customHeight="1" x14ac:dyDescent="0.25">
      <c r="BJ447" s="94"/>
      <c r="BK447" s="94"/>
      <c r="BL447" s="94"/>
      <c r="BM447" s="94"/>
      <c r="BN447" s="94"/>
      <c r="BO447" s="94"/>
      <c r="BP447" s="94"/>
      <c r="BQ447" s="94"/>
      <c r="BR447" s="94"/>
      <c r="BS447" s="94"/>
      <c r="BT447" s="94"/>
      <c r="BU447" s="94"/>
    </row>
    <row r="448" spans="62:73" ht="18.75" customHeight="1" x14ac:dyDescent="0.25">
      <c r="BJ448" s="94"/>
      <c r="BK448" s="94"/>
      <c r="BL448" s="94"/>
      <c r="BM448" s="94"/>
      <c r="BN448" s="94"/>
      <c r="BO448" s="94"/>
      <c r="BP448" s="94"/>
      <c r="BQ448" s="94"/>
      <c r="BR448" s="94"/>
      <c r="BS448" s="94"/>
      <c r="BT448" s="94"/>
      <c r="BU448" s="94"/>
    </row>
    <row r="449" spans="62:73" ht="18.75" customHeight="1" x14ac:dyDescent="0.25">
      <c r="BJ449" s="94"/>
      <c r="BK449" s="94"/>
      <c r="BL449" s="94"/>
      <c r="BM449" s="94"/>
      <c r="BN449" s="94"/>
      <c r="BO449" s="94"/>
      <c r="BP449" s="94"/>
      <c r="BQ449" s="94"/>
      <c r="BR449" s="94"/>
      <c r="BS449" s="94"/>
      <c r="BT449" s="94"/>
      <c r="BU449" s="94"/>
    </row>
    <row r="450" spans="62:73" ht="18.75" customHeight="1" x14ac:dyDescent="0.25">
      <c r="BJ450" s="94"/>
      <c r="BK450" s="94"/>
      <c r="BL450" s="94"/>
      <c r="BM450" s="94"/>
      <c r="BN450" s="94"/>
      <c r="BO450" s="94"/>
      <c r="BP450" s="94"/>
      <c r="BQ450" s="94"/>
      <c r="BR450" s="94"/>
      <c r="BS450" s="94"/>
      <c r="BT450" s="94"/>
      <c r="BU450" s="94"/>
    </row>
    <row r="451" spans="62:73" ht="18.75" customHeight="1" x14ac:dyDescent="0.25">
      <c r="BJ451" s="94"/>
      <c r="BK451" s="94"/>
      <c r="BL451" s="94"/>
      <c r="BM451" s="94"/>
      <c r="BN451" s="94"/>
      <c r="BO451" s="94"/>
      <c r="BP451" s="94"/>
      <c r="BQ451" s="94"/>
      <c r="BR451" s="94"/>
      <c r="BS451" s="94"/>
      <c r="BT451" s="94"/>
      <c r="BU451" s="94"/>
    </row>
    <row r="452" spans="62:73" ht="18.75" customHeight="1" x14ac:dyDescent="0.25">
      <c r="BJ452" s="94"/>
      <c r="BK452" s="94"/>
      <c r="BL452" s="94"/>
      <c r="BM452" s="94"/>
      <c r="BN452" s="94"/>
      <c r="BO452" s="94"/>
      <c r="BP452" s="94"/>
      <c r="BQ452" s="94"/>
      <c r="BR452" s="94"/>
      <c r="BS452" s="94"/>
      <c r="BT452" s="94"/>
      <c r="BU452" s="94"/>
    </row>
    <row r="453" spans="62:73" ht="18.75" customHeight="1" x14ac:dyDescent="0.25">
      <c r="BJ453" s="94"/>
      <c r="BK453" s="94"/>
      <c r="BL453" s="94"/>
      <c r="BM453" s="94"/>
      <c r="BN453" s="94"/>
      <c r="BO453" s="94"/>
      <c r="BP453" s="94"/>
      <c r="BQ453" s="94"/>
      <c r="BR453" s="94"/>
      <c r="BS453" s="94"/>
      <c r="BT453" s="94"/>
      <c r="BU453" s="94"/>
    </row>
    <row r="454" spans="62:73" ht="18.75" customHeight="1" x14ac:dyDescent="0.25">
      <c r="BJ454" s="94"/>
      <c r="BK454" s="94"/>
      <c r="BL454" s="94"/>
      <c r="BM454" s="94"/>
      <c r="BN454" s="94"/>
      <c r="BO454" s="94"/>
      <c r="BP454" s="94"/>
      <c r="BQ454" s="94"/>
      <c r="BR454" s="94"/>
      <c r="BS454" s="94"/>
      <c r="BT454" s="94"/>
      <c r="BU454" s="94"/>
    </row>
    <row r="455" spans="62:73" ht="18.75" customHeight="1" x14ac:dyDescent="0.25">
      <c r="BJ455" s="94"/>
      <c r="BK455" s="94"/>
      <c r="BL455" s="94"/>
      <c r="BM455" s="94"/>
      <c r="BN455" s="94"/>
      <c r="BO455" s="94"/>
      <c r="BP455" s="94"/>
      <c r="BQ455" s="94"/>
      <c r="BR455" s="94"/>
      <c r="BS455" s="94"/>
      <c r="BT455" s="94"/>
      <c r="BU455" s="94"/>
    </row>
    <row r="456" spans="62:73" ht="18.75" customHeight="1" x14ac:dyDescent="0.25">
      <c r="BJ456" s="94"/>
      <c r="BK456" s="94"/>
      <c r="BL456" s="94"/>
      <c r="BM456" s="94"/>
      <c r="BN456" s="94"/>
      <c r="BO456" s="94"/>
      <c r="BP456" s="94"/>
      <c r="BQ456" s="94"/>
      <c r="BR456" s="94"/>
      <c r="BS456" s="94"/>
      <c r="BT456" s="94"/>
      <c r="BU456" s="94"/>
    </row>
    <row r="457" spans="62:73" ht="18.75" customHeight="1" x14ac:dyDescent="0.25">
      <c r="BJ457" s="94"/>
      <c r="BK457" s="94"/>
      <c r="BL457" s="94"/>
      <c r="BM457" s="94"/>
      <c r="BN457" s="94"/>
      <c r="BO457" s="94"/>
      <c r="BP457" s="94"/>
      <c r="BQ457" s="94"/>
      <c r="BR457" s="94"/>
      <c r="BS457" s="94"/>
      <c r="BT457" s="94"/>
      <c r="BU457" s="94"/>
    </row>
    <row r="458" spans="62:73" ht="18.75" customHeight="1" x14ac:dyDescent="0.25">
      <c r="BJ458" s="94"/>
      <c r="BK458" s="94"/>
      <c r="BL458" s="94"/>
      <c r="BM458" s="94"/>
      <c r="BN458" s="94"/>
      <c r="BO458" s="94"/>
      <c r="BP458" s="94"/>
      <c r="BQ458" s="94"/>
      <c r="BR458" s="94"/>
      <c r="BS458" s="94"/>
      <c r="BT458" s="94"/>
      <c r="BU458" s="94"/>
    </row>
    <row r="459" spans="62:73" ht="18.75" customHeight="1" x14ac:dyDescent="0.25">
      <c r="BJ459" s="94"/>
      <c r="BK459" s="94"/>
      <c r="BL459" s="94"/>
      <c r="BM459" s="94"/>
      <c r="BN459" s="94"/>
      <c r="BO459" s="94"/>
      <c r="BP459" s="94"/>
      <c r="BQ459" s="94"/>
      <c r="BR459" s="94"/>
      <c r="BS459" s="94"/>
      <c r="BT459" s="94"/>
      <c r="BU459" s="94"/>
    </row>
    <row r="460" spans="62:73" ht="18.75" customHeight="1" x14ac:dyDescent="0.25">
      <c r="BJ460" s="94"/>
      <c r="BK460" s="94"/>
      <c r="BL460" s="94"/>
      <c r="BM460" s="94"/>
      <c r="BN460" s="94"/>
      <c r="BO460" s="94"/>
      <c r="BP460" s="94"/>
      <c r="BQ460" s="94"/>
      <c r="BR460" s="94"/>
      <c r="BS460" s="94"/>
      <c r="BT460" s="94"/>
      <c r="BU460" s="94"/>
    </row>
    <row r="461" spans="62:73" ht="18.75" customHeight="1" x14ac:dyDescent="0.25">
      <c r="BJ461" s="94"/>
      <c r="BK461" s="94"/>
      <c r="BL461" s="94"/>
      <c r="BM461" s="94"/>
      <c r="BN461" s="94"/>
      <c r="BO461" s="94"/>
      <c r="BP461" s="94"/>
      <c r="BQ461" s="94"/>
      <c r="BR461" s="94"/>
      <c r="BS461" s="94"/>
      <c r="BT461" s="94"/>
      <c r="BU461" s="94"/>
    </row>
    <row r="462" spans="62:73" ht="18.75" customHeight="1" x14ac:dyDescent="0.25">
      <c r="BJ462" s="94"/>
      <c r="BK462" s="94"/>
      <c r="BL462" s="94"/>
      <c r="BM462" s="94"/>
      <c r="BN462" s="94"/>
      <c r="BO462" s="94"/>
      <c r="BP462" s="94"/>
      <c r="BQ462" s="94"/>
      <c r="BR462" s="94"/>
      <c r="BS462" s="94"/>
      <c r="BT462" s="94"/>
      <c r="BU462" s="94"/>
    </row>
    <row r="463" spans="62:73" ht="18.75" customHeight="1" x14ac:dyDescent="0.25">
      <c r="BJ463" s="94"/>
      <c r="BK463" s="94"/>
      <c r="BL463" s="94"/>
      <c r="BM463" s="94"/>
      <c r="BN463" s="94"/>
      <c r="BO463" s="94"/>
      <c r="BP463" s="94"/>
      <c r="BQ463" s="94"/>
      <c r="BR463" s="94"/>
      <c r="BS463" s="94"/>
      <c r="BT463" s="94"/>
      <c r="BU463" s="94"/>
    </row>
    <row r="464" spans="62:73" ht="18.75" customHeight="1" x14ac:dyDescent="0.25">
      <c r="BJ464" s="94"/>
      <c r="BK464" s="94"/>
      <c r="BL464" s="94"/>
      <c r="BM464" s="94"/>
      <c r="BN464" s="94"/>
      <c r="BO464" s="94"/>
      <c r="BP464" s="94"/>
      <c r="BQ464" s="94"/>
      <c r="BR464" s="94"/>
      <c r="BS464" s="94"/>
      <c r="BT464" s="94"/>
      <c r="BU464" s="94"/>
    </row>
    <row r="465" spans="62:73" ht="18.75" customHeight="1" x14ac:dyDescent="0.25">
      <c r="BJ465" s="94"/>
      <c r="BK465" s="94"/>
      <c r="BL465" s="94"/>
      <c r="BM465" s="94"/>
      <c r="BN465" s="94"/>
      <c r="BO465" s="94"/>
      <c r="BP465" s="94"/>
      <c r="BQ465" s="94"/>
      <c r="BR465" s="94"/>
      <c r="BS465" s="94"/>
      <c r="BT465" s="94"/>
      <c r="BU465" s="94"/>
    </row>
    <row r="466" spans="62:73" ht="18.75" customHeight="1" x14ac:dyDescent="0.25">
      <c r="BJ466" s="94"/>
      <c r="BK466" s="94"/>
      <c r="BL466" s="94"/>
      <c r="BM466" s="94"/>
      <c r="BN466" s="94"/>
      <c r="BO466" s="94"/>
      <c r="BP466" s="94"/>
      <c r="BQ466" s="94"/>
      <c r="BR466" s="94"/>
      <c r="BS466" s="94"/>
      <c r="BT466" s="94"/>
      <c r="BU466" s="94"/>
    </row>
    <row r="467" spans="62:73" ht="18.75" customHeight="1" x14ac:dyDescent="0.25">
      <c r="BJ467" s="94"/>
      <c r="BK467" s="94"/>
      <c r="BL467" s="94"/>
      <c r="BM467" s="94"/>
      <c r="BN467" s="94"/>
      <c r="BO467" s="94"/>
      <c r="BP467" s="94"/>
      <c r="BQ467" s="94"/>
      <c r="BR467" s="94"/>
      <c r="BS467" s="94"/>
      <c r="BT467" s="94"/>
      <c r="BU467" s="94"/>
    </row>
    <row r="468" spans="62:73" ht="18.75" customHeight="1" x14ac:dyDescent="0.25">
      <c r="BJ468" s="94"/>
      <c r="BK468" s="94"/>
      <c r="BL468" s="94"/>
      <c r="BM468" s="94"/>
      <c r="BN468" s="94"/>
      <c r="BO468" s="94"/>
      <c r="BP468" s="94"/>
      <c r="BQ468" s="94"/>
      <c r="BR468" s="94"/>
      <c r="BS468" s="94"/>
      <c r="BT468" s="94"/>
      <c r="BU468" s="94"/>
    </row>
    <row r="469" spans="62:73" ht="18.75" customHeight="1" x14ac:dyDescent="0.25">
      <c r="BJ469" s="94"/>
      <c r="BK469" s="94"/>
      <c r="BL469" s="94"/>
      <c r="BM469" s="94"/>
      <c r="BN469" s="94"/>
      <c r="BO469" s="94"/>
      <c r="BP469" s="94"/>
      <c r="BQ469" s="94"/>
      <c r="BR469" s="94"/>
      <c r="BS469" s="94"/>
      <c r="BT469" s="94"/>
      <c r="BU469" s="94"/>
    </row>
    <row r="470" spans="62:73" ht="18.75" customHeight="1" x14ac:dyDescent="0.25">
      <c r="BJ470" s="94"/>
      <c r="BK470" s="94"/>
      <c r="BL470" s="94"/>
      <c r="BM470" s="94"/>
      <c r="BN470" s="94"/>
      <c r="BO470" s="94"/>
      <c r="BP470" s="94"/>
      <c r="BQ470" s="94"/>
      <c r="BR470" s="94"/>
      <c r="BS470" s="94"/>
      <c r="BT470" s="94"/>
      <c r="BU470" s="94"/>
    </row>
    <row r="471" spans="62:73" ht="18.75" customHeight="1" x14ac:dyDescent="0.25">
      <c r="BJ471" s="94"/>
      <c r="BK471" s="94"/>
      <c r="BL471" s="94"/>
      <c r="BM471" s="94"/>
      <c r="BN471" s="94"/>
      <c r="BO471" s="94"/>
      <c r="BP471" s="94"/>
      <c r="BQ471" s="94"/>
      <c r="BR471" s="94"/>
      <c r="BS471" s="94"/>
      <c r="BT471" s="94"/>
      <c r="BU471" s="94"/>
    </row>
    <row r="472" spans="62:73" ht="18.75" customHeight="1" x14ac:dyDescent="0.25">
      <c r="BJ472" s="94"/>
      <c r="BK472" s="94"/>
      <c r="BL472" s="94"/>
      <c r="BM472" s="94"/>
      <c r="BN472" s="94"/>
      <c r="BO472" s="94"/>
      <c r="BP472" s="94"/>
      <c r="BQ472" s="94"/>
      <c r="BR472" s="94"/>
      <c r="BS472" s="94"/>
      <c r="BT472" s="94"/>
      <c r="BU472" s="94"/>
    </row>
    <row r="473" spans="62:73" ht="18.75" customHeight="1" x14ac:dyDescent="0.25">
      <c r="BJ473" s="94"/>
      <c r="BK473" s="94"/>
      <c r="BL473" s="94"/>
      <c r="BM473" s="94"/>
      <c r="BN473" s="94"/>
      <c r="BO473" s="94"/>
      <c r="BP473" s="94"/>
      <c r="BQ473" s="94"/>
      <c r="BR473" s="94"/>
      <c r="BS473" s="94"/>
      <c r="BT473" s="94"/>
      <c r="BU473" s="94"/>
    </row>
    <row r="474" spans="62:73" ht="18.75" customHeight="1" x14ac:dyDescent="0.25">
      <c r="BJ474" s="94"/>
      <c r="BK474" s="94"/>
      <c r="BL474" s="94"/>
      <c r="BM474" s="94"/>
      <c r="BN474" s="94"/>
      <c r="BO474" s="94"/>
      <c r="BP474" s="94"/>
      <c r="BQ474" s="94"/>
      <c r="BR474" s="94"/>
      <c r="BS474" s="94"/>
      <c r="BT474" s="94"/>
      <c r="BU474" s="94"/>
    </row>
    <row r="475" spans="62:73" ht="18.75" customHeight="1" x14ac:dyDescent="0.25">
      <c r="BJ475" s="94"/>
      <c r="BK475" s="94"/>
      <c r="BL475" s="94"/>
      <c r="BM475" s="94"/>
      <c r="BN475" s="94"/>
      <c r="BO475" s="94"/>
      <c r="BP475" s="94"/>
      <c r="BQ475" s="94"/>
      <c r="BR475" s="94"/>
      <c r="BS475" s="94"/>
      <c r="BT475" s="94"/>
      <c r="BU475" s="94"/>
    </row>
    <row r="476" spans="62:73" ht="18.75" customHeight="1" x14ac:dyDescent="0.25">
      <c r="BJ476" s="94"/>
      <c r="BK476" s="94"/>
      <c r="BL476" s="94"/>
      <c r="BM476" s="94"/>
      <c r="BN476" s="94"/>
      <c r="BO476" s="94"/>
      <c r="BP476" s="94"/>
      <c r="BQ476" s="94"/>
      <c r="BR476" s="94"/>
      <c r="BS476" s="94"/>
      <c r="BT476" s="94"/>
      <c r="BU476" s="94"/>
    </row>
    <row r="477" spans="62:73" ht="18.75" customHeight="1" x14ac:dyDescent="0.25">
      <c r="BJ477" s="94"/>
      <c r="BK477" s="94"/>
      <c r="BL477" s="94"/>
      <c r="BM477" s="94"/>
      <c r="BN477" s="94"/>
      <c r="BO477" s="94"/>
      <c r="BP477" s="94"/>
      <c r="BQ477" s="94"/>
      <c r="BR477" s="94"/>
      <c r="BS477" s="94"/>
      <c r="BT477" s="94"/>
      <c r="BU477" s="94"/>
    </row>
    <row r="478" spans="62:73" ht="18.75" customHeight="1" x14ac:dyDescent="0.25">
      <c r="BJ478" s="94"/>
      <c r="BK478" s="94"/>
      <c r="BL478" s="94"/>
      <c r="BM478" s="94"/>
      <c r="BN478" s="94"/>
      <c r="BO478" s="94"/>
      <c r="BP478" s="94"/>
      <c r="BQ478" s="94"/>
      <c r="BR478" s="94"/>
      <c r="BS478" s="94"/>
      <c r="BT478" s="94"/>
      <c r="BU478" s="94"/>
    </row>
    <row r="479" spans="62:73" ht="18.75" customHeight="1" x14ac:dyDescent="0.25">
      <c r="BJ479" s="94"/>
    </row>
    <row r="480" spans="62:73" ht="18.75" customHeight="1" x14ac:dyDescent="0.25">
      <c r="BJ480" s="94"/>
    </row>
    <row r="481" spans="62:62" ht="18.75" customHeight="1" x14ac:dyDescent="0.25">
      <c r="BJ481" s="94"/>
    </row>
  </sheetData>
  <mergeCells count="224">
    <mergeCell ref="AS6:AT6"/>
    <mergeCell ref="AS13:AT13"/>
    <mergeCell ref="AS29:AT29"/>
    <mergeCell ref="X33:Y33"/>
    <mergeCell ref="R34:S34"/>
    <mergeCell ref="T34:U34"/>
    <mergeCell ref="T29:U29"/>
    <mergeCell ref="V29:W29"/>
    <mergeCell ref="A29:D29"/>
    <mergeCell ref="X29:Z29"/>
    <mergeCell ref="P30:Q30"/>
    <mergeCell ref="P29:Q29"/>
    <mergeCell ref="X31:Y31"/>
    <mergeCell ref="R30:S30"/>
    <mergeCell ref="T30:U30"/>
    <mergeCell ref="V30:W30"/>
    <mergeCell ref="X30:Y30"/>
    <mergeCell ref="P25:Q25"/>
    <mergeCell ref="R25:Z25"/>
    <mergeCell ref="N25:O25"/>
    <mergeCell ref="X6:Z6"/>
    <mergeCell ref="V8:W8"/>
    <mergeCell ref="A7:D7"/>
    <mergeCell ref="A8:D8"/>
    <mergeCell ref="A9:D9"/>
    <mergeCell ref="A10:D10"/>
    <mergeCell ref="A11:D11"/>
    <mergeCell ref="A12:D12"/>
    <mergeCell ref="A2:AA2"/>
    <mergeCell ref="I3:S3"/>
    <mergeCell ref="B4:H4"/>
    <mergeCell ref="I4:S4"/>
    <mergeCell ref="A3:H3"/>
    <mergeCell ref="P9:Q9"/>
    <mergeCell ref="P10:Q10"/>
    <mergeCell ref="E8:M8"/>
    <mergeCell ref="E9:M9"/>
    <mergeCell ref="V6:W6"/>
    <mergeCell ref="E6:M6"/>
    <mergeCell ref="E10:M10"/>
    <mergeCell ref="N10:O10"/>
    <mergeCell ref="R10:S10"/>
    <mergeCell ref="T8:U8"/>
    <mergeCell ref="X8:Y8"/>
    <mergeCell ref="P8:Q8"/>
    <mergeCell ref="X7:Y7"/>
    <mergeCell ref="E7:M7"/>
    <mergeCell ref="N6:O6"/>
    <mergeCell ref="R6:S6"/>
    <mergeCell ref="T6:U6"/>
    <mergeCell ref="T7:U7"/>
    <mergeCell ref="N11:O11"/>
    <mergeCell ref="R11:S11"/>
    <mergeCell ref="T11:U11"/>
    <mergeCell ref="P12:Q12"/>
    <mergeCell ref="E12:M12"/>
    <mergeCell ref="P11:Q11"/>
    <mergeCell ref="E11:M11"/>
    <mergeCell ref="P7:Q7"/>
    <mergeCell ref="P6:Q6"/>
    <mergeCell ref="V11:W11"/>
    <mergeCell ref="T10:U10"/>
    <mergeCell ref="V10:W10"/>
    <mergeCell ref="X10:Y10"/>
    <mergeCell ref="N8:O8"/>
    <mergeCell ref="R9:S9"/>
    <mergeCell ref="V7:W7"/>
    <mergeCell ref="T9:U9"/>
    <mergeCell ref="V9:W9"/>
    <mergeCell ref="X9:Y9"/>
    <mergeCell ref="R7:S7"/>
    <mergeCell ref="N7:O7"/>
    <mergeCell ref="N9:O9"/>
    <mergeCell ref="R8:S8"/>
    <mergeCell ref="E21:M21"/>
    <mergeCell ref="E22:M22"/>
    <mergeCell ref="L15:M15"/>
    <mergeCell ref="E13:H13"/>
    <mergeCell ref="E14:H14"/>
    <mergeCell ref="X14:Y14"/>
    <mergeCell ref="X13:Z13"/>
    <mergeCell ref="T16:U16"/>
    <mergeCell ref="I13:K13"/>
    <mergeCell ref="V13:W13"/>
    <mergeCell ref="V14:W14"/>
    <mergeCell ref="N14:O14"/>
    <mergeCell ref="V15:W15"/>
    <mergeCell ref="I15:K15"/>
    <mergeCell ref="X15:Y15"/>
    <mergeCell ref="R15:S15"/>
    <mergeCell ref="T15:U15"/>
    <mergeCell ref="P15:Q15"/>
    <mergeCell ref="T13:U13"/>
    <mergeCell ref="T14:U14"/>
    <mergeCell ref="R14:S14"/>
    <mergeCell ref="R13:S13"/>
    <mergeCell ref="I16:K16"/>
    <mergeCell ref="L13:M13"/>
    <mergeCell ref="N23:O23"/>
    <mergeCell ref="N19:O19"/>
    <mergeCell ref="N22:O22"/>
    <mergeCell ref="N20:O20"/>
    <mergeCell ref="P16:Q16"/>
    <mergeCell ref="E17:Z17"/>
    <mergeCell ref="AJ3:AY3"/>
    <mergeCell ref="R26:Z26"/>
    <mergeCell ref="P23:Q23"/>
    <mergeCell ref="P24:Q24"/>
    <mergeCell ref="E20:M20"/>
    <mergeCell ref="E24:M24"/>
    <mergeCell ref="P20:Q20"/>
    <mergeCell ref="N24:O24"/>
    <mergeCell ref="E25:M25"/>
    <mergeCell ref="E16:H16"/>
    <mergeCell ref="P13:Q13"/>
    <mergeCell ref="P14:Q14"/>
    <mergeCell ref="N21:O21"/>
    <mergeCell ref="P19:Q19"/>
    <mergeCell ref="L16:M16"/>
    <mergeCell ref="E19:M19"/>
    <mergeCell ref="E18:M18"/>
    <mergeCell ref="X12:Y12"/>
    <mergeCell ref="L14:M14"/>
    <mergeCell ref="N12:O12"/>
    <mergeCell ref="R12:S12"/>
    <mergeCell ref="T12:U12"/>
    <mergeCell ref="V12:W12"/>
    <mergeCell ref="AJ5:BI5"/>
    <mergeCell ref="X32:Y32"/>
    <mergeCell ref="R18:Z18"/>
    <mergeCell ref="R19:Z19"/>
    <mergeCell ref="R20:Z20"/>
    <mergeCell ref="R21:Z21"/>
    <mergeCell ref="R22:Z22"/>
    <mergeCell ref="R23:Z23"/>
    <mergeCell ref="R24:Z24"/>
    <mergeCell ref="E28:Z28"/>
    <mergeCell ref="R29:S29"/>
    <mergeCell ref="N27:O27"/>
    <mergeCell ref="P27:Q27"/>
    <mergeCell ref="R27:Z27"/>
    <mergeCell ref="R31:S31"/>
    <mergeCell ref="P32:Q32"/>
    <mergeCell ref="R32:S32"/>
    <mergeCell ref="E23:M23"/>
    <mergeCell ref="X11:Y11"/>
    <mergeCell ref="N26:O26"/>
    <mergeCell ref="P18:Q18"/>
    <mergeCell ref="N13:O13"/>
    <mergeCell ref="N16:O16"/>
    <mergeCell ref="R16:S16"/>
    <mergeCell ref="X16:Y16"/>
    <mergeCell ref="E37:K37"/>
    <mergeCell ref="R37:S37"/>
    <mergeCell ref="T37:U37"/>
    <mergeCell ref="X34:Y34"/>
    <mergeCell ref="R35:S35"/>
    <mergeCell ref="T35:U35"/>
    <mergeCell ref="V35:W35"/>
    <mergeCell ref="P34:Q34"/>
    <mergeCell ref="P35:Q35"/>
    <mergeCell ref="P33:Q33"/>
    <mergeCell ref="N37:O37"/>
    <mergeCell ref="V37:Z37"/>
    <mergeCell ref="X35:Y35"/>
    <mergeCell ref="V32:W32"/>
    <mergeCell ref="X36:Y36"/>
    <mergeCell ref="R33:S33"/>
    <mergeCell ref="V16:W16"/>
    <mergeCell ref="V36:W36"/>
    <mergeCell ref="A36:D36"/>
    <mergeCell ref="P26:Q26"/>
    <mergeCell ref="P22:Q22"/>
    <mergeCell ref="E26:M26"/>
    <mergeCell ref="A22:D22"/>
    <mergeCell ref="A23:D23"/>
    <mergeCell ref="A24:D24"/>
    <mergeCell ref="A1:O1"/>
    <mergeCell ref="P1:Q1"/>
    <mergeCell ref="E31:M31"/>
    <mergeCell ref="E32:M32"/>
    <mergeCell ref="E33:M33"/>
    <mergeCell ref="E34:M34"/>
    <mergeCell ref="E35:M35"/>
    <mergeCell ref="P36:Q36"/>
    <mergeCell ref="E36:I36"/>
    <mergeCell ref="P21:Q21"/>
    <mergeCell ref="N18:O18"/>
    <mergeCell ref="E29:M29"/>
    <mergeCell ref="E30:M30"/>
    <mergeCell ref="E27:M27"/>
    <mergeCell ref="E15:H15"/>
    <mergeCell ref="I14:K14"/>
    <mergeCell ref="N15:O15"/>
    <mergeCell ref="J36:M36"/>
    <mergeCell ref="P31:Q31"/>
    <mergeCell ref="T31:U31"/>
    <mergeCell ref="V31:W31"/>
    <mergeCell ref="N36:O36"/>
    <mergeCell ref="R36:S36"/>
    <mergeCell ref="T36:U36"/>
    <mergeCell ref="V34:W34"/>
    <mergeCell ref="T33:U33"/>
    <mergeCell ref="V33:W33"/>
    <mergeCell ref="T32:U32"/>
    <mergeCell ref="A13:D13"/>
    <mergeCell ref="A14:D14"/>
    <mergeCell ref="A15:D15"/>
    <mergeCell ref="A16:D16"/>
    <mergeCell ref="A17:D17"/>
    <mergeCell ref="A18:D18"/>
    <mergeCell ref="A19:D19"/>
    <mergeCell ref="A20:D20"/>
    <mergeCell ref="A21:D21"/>
    <mergeCell ref="A35:D35"/>
    <mergeCell ref="A25:D25"/>
    <mergeCell ref="A26:D26"/>
    <mergeCell ref="A27:D27"/>
    <mergeCell ref="A28:D28"/>
    <mergeCell ref="A30:D30"/>
    <mergeCell ref="A31:D31"/>
    <mergeCell ref="A32:D32"/>
    <mergeCell ref="A33:D33"/>
    <mergeCell ref="A34:D34"/>
  </mergeCells>
  <conditionalFormatting sqref="X36:Y36">
    <cfRule type="expression" dxfId="144" priority="23">
      <formula>$X$36=0</formula>
    </cfRule>
  </conditionalFormatting>
  <conditionalFormatting sqref="R36:U36 N36:O36">
    <cfRule type="expression" dxfId="143" priority="325">
      <formula>$N$36=0</formula>
    </cfRule>
  </conditionalFormatting>
  <conditionalFormatting sqref="P36:Q36">
    <cfRule type="expression" dxfId="142" priority="22">
      <formula>$N$36=0</formula>
    </cfRule>
  </conditionalFormatting>
  <conditionalFormatting sqref="V36:W36">
    <cfRule type="expression" dxfId="141" priority="21">
      <formula>$N$36=0</formula>
    </cfRule>
  </conditionalFormatting>
  <conditionalFormatting sqref="AF14:AF16 AF30:AF35">
    <cfRule type="expression" dxfId="140" priority="19">
      <formula>AF14="No"</formula>
    </cfRule>
  </conditionalFormatting>
  <conditionalFormatting sqref="AF7:AF12">
    <cfRule type="expression" dxfId="139" priority="2">
      <formula>AF7="No"</formula>
    </cfRule>
  </conditionalFormatting>
  <hyperlinks>
    <hyperlink ref="P29:Q29" location="Lenders" display="Lender"/>
  </hyperlinks>
  <printOptions horizontalCentered="1"/>
  <pageMargins left="0.19685039370078741" right="3.937007874015748E-2" top="0.74803149606299213" bottom="0.74803149606299213" header="0.31496062992125984" footer="0"/>
  <pageSetup paperSize="9" orientation="portrait" r:id="rId1"/>
  <headerFooter>
    <oddHeader>&amp;C&amp;G</oddHeader>
    <oddFooter>&amp;R&amp;G</oddFooter>
  </headerFooter>
  <legacy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Settings!$V$15:$V$16</xm:f>
          </x14:formula1>
          <xm:sqref>AV7:AV9 AH7:AH12</xm:sqref>
        </x14:dataValidation>
        <x14:dataValidation type="list" allowBlank="1" showInputMessage="1" showErrorMessage="1">
          <x14:formula1>
            <xm:f>Settings!$AE$28:$AE$29</xm:f>
          </x14:formula1>
          <xm:sqref>AF14:AF16 AF7:AF12 AF30:AF35</xm:sqref>
        </x14:dataValidation>
        <x14:dataValidation type="list" allowBlank="1" showInputMessage="1" showErrorMessage="1">
          <x14:formula1>
            <xm:f>Settings!$A$2:$A$72</xm:f>
          </x14:formula1>
          <xm:sqref>P19:Q27</xm:sqref>
        </x14:dataValidation>
        <x14:dataValidation type="list" allowBlank="1" showInputMessage="1" showErrorMessage="1">
          <x14:formula1>
            <xm:f>Settings!$A$2:$A$72</xm:f>
          </x14:formula1>
          <xm:sqref>P14:Q16</xm:sqref>
        </x14:dataValidation>
        <x14:dataValidation type="list" allowBlank="1" showInputMessage="1" showErrorMessage="1">
          <x14:formula1>
            <xm:f>Settings!$A$2:$A$72</xm:f>
          </x14:formula1>
          <xm:sqref>P30:Q35</xm:sqref>
        </x14:dataValidation>
        <x14:dataValidation type="list" allowBlank="1" showInputMessage="1" showErrorMessage="1">
          <x14:formula1>
            <xm:f>Settings!$A$2:$A$72</xm:f>
          </x14:formula1>
          <xm:sqref>P7:Q12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CE91"/>
  <sheetViews>
    <sheetView showGridLines="0" showRuler="0" zoomScaleNormal="100" workbookViewId="0">
      <selection activeCell="A12" sqref="A12:E12"/>
    </sheetView>
  </sheetViews>
  <sheetFormatPr defaultColWidth="3.5703125" defaultRowHeight="18.75" customHeight="1" x14ac:dyDescent="0.25"/>
  <cols>
    <col min="1" max="16" width="4.28515625" style="29" customWidth="1"/>
    <col min="17" max="22" width="3.7109375" style="29" customWidth="1"/>
    <col min="23" max="23" width="3.85546875" style="29" customWidth="1"/>
    <col min="24" max="24" width="3.5703125" style="846" hidden="1" customWidth="1"/>
    <col min="25" max="25" width="10.28515625" style="846" hidden="1" customWidth="1"/>
    <col min="26" max="26" width="10.5703125" style="846" hidden="1" customWidth="1"/>
    <col min="27" max="27" width="10.5703125" style="846" customWidth="1"/>
    <col min="28" max="28" width="10.5703125" style="826" customWidth="1"/>
    <col min="29" max="29" width="9.140625" style="826" customWidth="1"/>
    <col min="30" max="33" width="3.5703125" style="826" customWidth="1"/>
    <col min="34" max="37" width="3.5703125" style="172" customWidth="1"/>
    <col min="38" max="38" width="8.5703125" style="172" customWidth="1"/>
    <col min="39" max="39" width="7.28515625" style="172" customWidth="1"/>
    <col min="40" max="40" width="3.5703125" style="172" customWidth="1"/>
    <col min="41" max="43" width="8.5703125" style="172" customWidth="1"/>
    <col min="44" max="44" width="3.5703125" style="826" customWidth="1"/>
    <col min="45" max="76" width="3.5703125" style="128"/>
    <col min="77" max="77" width="10.5703125" style="128" bestFit="1" customWidth="1"/>
    <col min="78" max="78" width="3.5703125" style="128"/>
    <col min="79" max="79" width="12" style="128" bestFit="1" customWidth="1"/>
    <col min="80" max="83" width="3.5703125" style="128"/>
    <col min="84" max="16384" width="3.5703125" style="29"/>
  </cols>
  <sheetData>
    <row r="1" spans="1:83" ht="48" customHeight="1" x14ac:dyDescent="0.25">
      <c r="A1" s="1897" t="s">
        <v>247</v>
      </c>
      <c r="B1" s="1897"/>
      <c r="C1" s="1897"/>
      <c r="D1" s="1897"/>
      <c r="E1" s="1897"/>
      <c r="F1" s="1897"/>
      <c r="G1" s="1897"/>
      <c r="H1" s="1897"/>
      <c r="I1" s="1897"/>
      <c r="J1" s="1897"/>
      <c r="K1" s="1897"/>
      <c r="L1" s="1897"/>
      <c r="M1" s="1897"/>
      <c r="N1" s="1897"/>
      <c r="O1" s="1897"/>
      <c r="P1" s="853"/>
      <c r="X1" s="826"/>
      <c r="Y1" s="826"/>
      <c r="Z1" s="826"/>
      <c r="AA1" s="826"/>
      <c r="AC1" s="846" t="s">
        <v>434</v>
      </c>
      <c r="AQ1" s="826"/>
      <c r="AR1" s="128"/>
      <c r="CE1" s="29"/>
    </row>
    <row r="2" spans="1:83" s="33" customFormat="1" ht="4.3499999999999996" customHeight="1" x14ac:dyDescent="0.25">
      <c r="A2" s="827"/>
      <c r="B2" s="827"/>
      <c r="C2" s="827"/>
      <c r="D2" s="827"/>
      <c r="E2" s="827"/>
      <c r="F2" s="827"/>
      <c r="G2" s="827"/>
      <c r="H2" s="827"/>
      <c r="I2" s="827"/>
      <c r="J2" s="827"/>
      <c r="K2" s="827"/>
      <c r="L2" s="827"/>
      <c r="M2" s="827"/>
      <c r="N2" s="827"/>
      <c r="O2" s="827"/>
      <c r="P2" s="851"/>
      <c r="Q2" s="851"/>
      <c r="R2" s="851"/>
      <c r="S2" s="851"/>
      <c r="T2" s="851"/>
      <c r="U2" s="851"/>
      <c r="V2" s="851"/>
      <c r="W2" s="29"/>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row>
    <row r="3" spans="1:83" s="830" customFormat="1" ht="26.1" customHeight="1" x14ac:dyDescent="0.2">
      <c r="A3" s="1915" t="s">
        <v>690</v>
      </c>
      <c r="B3" s="1915"/>
      <c r="C3" s="1915"/>
      <c r="D3" s="1915"/>
      <c r="E3" s="1915"/>
      <c r="F3" s="1915"/>
      <c r="G3" s="1915"/>
      <c r="H3" s="1915"/>
      <c r="I3" s="1915"/>
      <c r="J3" s="1915"/>
      <c r="K3" s="1915"/>
      <c r="L3" s="1915"/>
      <c r="M3" s="1915"/>
      <c r="N3" s="1917"/>
      <c r="O3" s="1917"/>
      <c r="P3" s="852"/>
      <c r="Q3" s="1916" t="s">
        <v>361</v>
      </c>
      <c r="R3" s="1916"/>
      <c r="S3" s="1916"/>
      <c r="T3" s="1916" t="s">
        <v>362</v>
      </c>
      <c r="U3" s="1916"/>
      <c r="V3" s="1916"/>
      <c r="W3" s="29"/>
      <c r="X3" s="943"/>
      <c r="Y3" s="943"/>
      <c r="Z3" s="943"/>
      <c r="AA3" s="943"/>
      <c r="AB3" s="922">
        <f>+Servicing!H29</f>
        <v>1</v>
      </c>
      <c r="AC3" s="923">
        <f>+Servicing!K29</f>
        <v>0</v>
      </c>
      <c r="AD3" s="943"/>
      <c r="AE3" s="943"/>
      <c r="AF3" s="943"/>
      <c r="AG3" s="943"/>
      <c r="AH3" s="212"/>
      <c r="AI3" s="212"/>
      <c r="AJ3" s="828"/>
      <c r="AK3" s="828"/>
      <c r="AL3" s="828"/>
      <c r="AM3" s="828"/>
      <c r="AN3" s="828"/>
      <c r="AO3" s="828"/>
      <c r="AP3" s="828"/>
      <c r="AQ3" s="828"/>
      <c r="AR3" s="829"/>
      <c r="AS3" s="829"/>
      <c r="AT3" s="829"/>
      <c r="AU3" s="829"/>
      <c r="AV3" s="829"/>
      <c r="AW3" s="829"/>
      <c r="AX3" s="829"/>
      <c r="AY3" s="829"/>
      <c r="AZ3" s="829"/>
      <c r="BA3" s="829"/>
      <c r="BB3" s="829"/>
      <c r="BC3" s="829"/>
      <c r="BD3" s="829"/>
      <c r="BE3" s="829"/>
      <c r="BF3" s="829"/>
      <c r="BG3" s="829"/>
      <c r="BH3" s="829"/>
      <c r="BI3" s="829"/>
      <c r="BJ3" s="829"/>
      <c r="BK3" s="829"/>
      <c r="BL3" s="829"/>
      <c r="BM3" s="829"/>
      <c r="BN3" s="829"/>
      <c r="BO3" s="829"/>
      <c r="BP3" s="829"/>
      <c r="BQ3" s="829"/>
      <c r="BR3" s="829"/>
      <c r="BS3" s="829"/>
      <c r="BT3" s="829"/>
      <c r="BU3" s="829"/>
      <c r="BV3" s="829"/>
      <c r="BW3" s="829"/>
      <c r="BX3" s="829"/>
      <c r="BY3" s="829"/>
      <c r="BZ3" s="829"/>
      <c r="CA3" s="829"/>
      <c r="CB3" s="829"/>
      <c r="CC3" s="829"/>
      <c r="CD3" s="829"/>
    </row>
    <row r="4" spans="1:83" s="58" customFormat="1" ht="15" x14ac:dyDescent="0.25">
      <c r="A4" s="1918" t="str">
        <f>+Servicing!A7</f>
        <v/>
      </c>
      <c r="B4" s="1918"/>
      <c r="C4" s="1918"/>
      <c r="D4" s="1918"/>
      <c r="E4" s="1918"/>
      <c r="F4" s="1918"/>
      <c r="G4" s="1918"/>
      <c r="H4" s="831"/>
      <c r="I4" s="832" t="str">
        <f>IF(+Income!G6="","",+Income!G6)</f>
        <v/>
      </c>
      <c r="J4" s="832"/>
      <c r="K4" s="832"/>
      <c r="L4" s="832"/>
      <c r="M4" s="832"/>
      <c r="N4" s="1919"/>
      <c r="O4" s="1919"/>
      <c r="P4" s="852"/>
      <c r="Q4" s="1919" t="str">
        <f>+Servicing!S7</f>
        <v/>
      </c>
      <c r="R4" s="1919"/>
      <c r="S4" s="1919"/>
      <c r="T4" s="1919" t="str">
        <f>+Servicing!P7</f>
        <v/>
      </c>
      <c r="U4" s="1919"/>
      <c r="V4" s="1919"/>
      <c r="W4" s="29"/>
      <c r="X4" s="828"/>
      <c r="Y4" s="828"/>
      <c r="Z4" s="828"/>
      <c r="AA4" s="828"/>
      <c r="AB4" s="924" t="s">
        <v>248</v>
      </c>
      <c r="AC4" s="925" t="s">
        <v>249</v>
      </c>
      <c r="AD4" s="828"/>
      <c r="AE4" s="828"/>
      <c r="AF4" s="828"/>
      <c r="AG4" s="828"/>
      <c r="AH4" s="828"/>
      <c r="AI4" s="828"/>
      <c r="AJ4" s="828"/>
      <c r="AK4" s="828"/>
      <c r="AL4" s="828"/>
      <c r="AM4" s="828"/>
      <c r="AN4" s="833"/>
      <c r="AO4" s="833"/>
      <c r="AP4" s="833"/>
      <c r="AQ4" s="828"/>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834"/>
      <c r="CA4" s="209"/>
      <c r="CB4" s="209"/>
      <c r="CC4" s="209"/>
      <c r="CD4" s="209"/>
    </row>
    <row r="5" spans="1:83" s="58" customFormat="1" ht="15" x14ac:dyDescent="0.25">
      <c r="A5" s="1918" t="str">
        <f>+Servicing!A8</f>
        <v xml:space="preserve">  </v>
      </c>
      <c r="B5" s="1918"/>
      <c r="C5" s="1918"/>
      <c r="D5" s="1918"/>
      <c r="E5" s="1918"/>
      <c r="F5" s="1918"/>
      <c r="G5" s="1918"/>
      <c r="H5" s="831"/>
      <c r="I5" s="832" t="str">
        <f>IF(+Income!R6="","",+Income!R6)</f>
        <v/>
      </c>
      <c r="J5" s="832"/>
      <c r="K5" s="832"/>
      <c r="L5" s="832"/>
      <c r="M5" s="832"/>
      <c r="N5" s="1919"/>
      <c r="O5" s="1919"/>
      <c r="P5" s="852"/>
      <c r="Q5" s="1919" t="str">
        <f>+Servicing!S8</f>
        <v/>
      </c>
      <c r="R5" s="1919"/>
      <c r="S5" s="1919"/>
      <c r="T5" s="1919" t="str">
        <f>+Servicing!P8</f>
        <v/>
      </c>
      <c r="U5" s="1919"/>
      <c r="V5" s="1919"/>
      <c r="W5" s="29"/>
      <c r="X5" s="941"/>
      <c r="Y5" s="941"/>
      <c r="Z5" s="941"/>
      <c r="AA5" s="941"/>
      <c r="AB5" s="1912" t="s">
        <v>870</v>
      </c>
      <c r="AC5" s="1912"/>
      <c r="AD5" s="941"/>
      <c r="AE5" s="941"/>
      <c r="AF5" s="828"/>
      <c r="AG5" s="828"/>
      <c r="AH5" s="828"/>
      <c r="AI5" s="828"/>
      <c r="AJ5" s="828"/>
      <c r="AK5" s="835"/>
      <c r="AL5" s="836"/>
      <c r="AM5" s="828"/>
      <c r="AN5" s="837"/>
      <c r="AO5" s="837"/>
      <c r="AP5" s="837"/>
      <c r="AQ5" s="828"/>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838"/>
      <c r="CA5" s="209"/>
      <c r="CB5" s="209"/>
      <c r="CC5" s="209"/>
      <c r="CD5" s="209"/>
    </row>
    <row r="6" spans="1:83" s="58" customFormat="1" ht="22.5" customHeight="1" x14ac:dyDescent="0.25">
      <c r="A6" s="1920" t="s">
        <v>1136</v>
      </c>
      <c r="B6" s="1920"/>
      <c r="C6" s="1920"/>
      <c r="D6" s="1920"/>
      <c r="E6" s="1920"/>
      <c r="F6" s="1920" t="s">
        <v>1133</v>
      </c>
      <c r="G6" s="1920"/>
      <c r="H6" s="1920"/>
      <c r="I6" s="1920"/>
      <c r="J6" s="1920"/>
      <c r="K6" s="1920"/>
      <c r="L6" s="854"/>
      <c r="M6" s="1926" t="s">
        <v>889</v>
      </c>
      <c r="N6" s="1926"/>
      <c r="O6" s="929" t="s">
        <v>888</v>
      </c>
      <c r="P6" s="854"/>
      <c r="Q6" s="1921" t="s">
        <v>361</v>
      </c>
      <c r="R6" s="1921"/>
      <c r="S6" s="1921"/>
      <c r="T6" s="1921" t="s">
        <v>362</v>
      </c>
      <c r="U6" s="1921"/>
      <c r="V6" s="1921"/>
      <c r="W6" s="29"/>
      <c r="X6" s="839" t="s">
        <v>887</v>
      </c>
      <c r="Y6" s="839" t="s">
        <v>362</v>
      </c>
      <c r="Z6" s="928"/>
      <c r="AA6" s="1060"/>
      <c r="AB6" s="1914"/>
      <c r="AC6" s="1914"/>
      <c r="AD6" s="1914"/>
      <c r="AE6" s="1913"/>
      <c r="AF6" s="1913"/>
      <c r="AG6" s="1913"/>
      <c r="AH6" s="839"/>
      <c r="AI6" s="839"/>
      <c r="AJ6" s="828"/>
      <c r="AK6" s="835"/>
      <c r="AL6" s="836"/>
      <c r="AM6" s="828"/>
      <c r="AN6" s="1911"/>
      <c r="AO6" s="1911"/>
      <c r="AP6" s="1911"/>
      <c r="AQ6" s="83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row>
    <row r="7" spans="1:83" s="58" customFormat="1" ht="16.5" customHeight="1" x14ac:dyDescent="0.25">
      <c r="A7" s="1922" t="s">
        <v>761</v>
      </c>
      <c r="B7" s="1923"/>
      <c r="C7" s="1923"/>
      <c r="D7" s="1923"/>
      <c r="E7" s="1923"/>
      <c r="F7" s="1927"/>
      <c r="G7" s="1927"/>
      <c r="H7" s="1927"/>
      <c r="I7" s="1927"/>
      <c r="J7" s="1927"/>
      <c r="K7" s="1928"/>
      <c r="L7" s="1014"/>
      <c r="M7" s="1924"/>
      <c r="N7" s="1925"/>
      <c r="O7" s="1015" t="s">
        <v>69</v>
      </c>
      <c r="W7" s="29"/>
      <c r="X7" s="845">
        <f>VLOOKUP(O7,Settings!$Y$29:$AA$36,3,FALSE)</f>
        <v>12</v>
      </c>
      <c r="Y7" s="944">
        <f>+X7*M7</f>
        <v>0</v>
      </c>
      <c r="Z7" s="951">
        <f>SUM(Y6:Y7)</f>
        <v>0</v>
      </c>
      <c r="AA7" s="1060"/>
      <c r="AB7" s="945" t="s">
        <v>307</v>
      </c>
      <c r="AC7" s="946" t="e">
        <f>+#REF!</f>
        <v>#REF!</v>
      </c>
      <c r="AD7" s="921"/>
      <c r="AE7" s="1913"/>
      <c r="AF7" s="1913"/>
      <c r="AG7" s="1913"/>
      <c r="AH7" s="839"/>
      <c r="AI7" s="839"/>
      <c r="AJ7" s="828"/>
      <c r="AK7" s="835"/>
      <c r="AL7" s="836"/>
      <c r="AM7" s="828"/>
      <c r="AN7" s="840"/>
      <c r="AO7" s="840"/>
      <c r="AP7" s="841"/>
      <c r="AQ7" s="83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row>
    <row r="8" spans="1:83" s="58" customFormat="1" ht="16.5" customHeight="1" x14ac:dyDescent="0.25">
      <c r="A8" s="1906" t="s">
        <v>762</v>
      </c>
      <c r="B8" s="1907"/>
      <c r="C8" s="1907"/>
      <c r="D8" s="1907"/>
      <c r="E8" s="1907"/>
      <c r="F8" s="1908"/>
      <c r="G8" s="1908"/>
      <c r="H8" s="1908"/>
      <c r="I8" s="1908"/>
      <c r="J8" s="1908"/>
      <c r="K8" s="1909"/>
      <c r="M8" s="1904"/>
      <c r="N8" s="1905"/>
      <c r="O8" s="940" t="s">
        <v>69</v>
      </c>
      <c r="Q8" s="1910" t="s">
        <v>1141</v>
      </c>
      <c r="R8" s="1910"/>
      <c r="S8" s="1910"/>
      <c r="T8" s="1910"/>
      <c r="U8" s="1910"/>
      <c r="V8" s="1910"/>
      <c r="W8" s="29"/>
      <c r="X8" s="845">
        <f>VLOOKUP(O8,Settings!$Y$29:$AA$36,3,FALSE)</f>
        <v>12</v>
      </c>
      <c r="Y8" s="944">
        <f>+X8*M8</f>
        <v>0</v>
      </c>
      <c r="Z8" s="839"/>
      <c r="AA8" s="839"/>
      <c r="AB8" s="947" t="s">
        <v>306</v>
      </c>
      <c r="AC8" s="948" t="e">
        <f>+#REF!</f>
        <v>#REF!</v>
      </c>
      <c r="AD8" s="839"/>
      <c r="AE8" s="839"/>
      <c r="AF8" s="839"/>
      <c r="AG8" s="839"/>
      <c r="AH8" s="839"/>
      <c r="AI8" s="839"/>
      <c r="AJ8" s="828"/>
      <c r="AK8" s="835"/>
      <c r="AL8" s="842"/>
      <c r="AM8" s="843"/>
      <c r="AN8" s="841"/>
      <c r="AO8" s="83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row>
    <row r="9" spans="1:83" s="58" customFormat="1" ht="16.5" customHeight="1" x14ac:dyDescent="0.25">
      <c r="A9" s="1906" t="s">
        <v>875</v>
      </c>
      <c r="B9" s="1907"/>
      <c r="C9" s="1907"/>
      <c r="D9" s="1907"/>
      <c r="E9" s="1907"/>
      <c r="F9" s="1908"/>
      <c r="G9" s="1908"/>
      <c r="H9" s="1908"/>
      <c r="I9" s="1908"/>
      <c r="J9" s="1908"/>
      <c r="K9" s="1909"/>
      <c r="M9" s="1904"/>
      <c r="N9" s="1905"/>
      <c r="O9" s="940" t="s">
        <v>69</v>
      </c>
      <c r="Q9" s="1898" t="str">
        <f>IF(SUM(Z9)=0,"",Z9/12)</f>
        <v/>
      </c>
      <c r="R9" s="1899"/>
      <c r="S9" s="1900"/>
      <c r="T9" s="1901" t="str">
        <f>IF(Q9="","",SUM(Q9)*12)</f>
        <v/>
      </c>
      <c r="U9" s="1902"/>
      <c r="V9" s="1903"/>
      <c r="W9" s="29"/>
      <c r="X9" s="845">
        <f>VLOOKUP(O9,Settings!$Y$29:$AA$36,3,FALSE)</f>
        <v>12</v>
      </c>
      <c r="Y9" s="949">
        <f>+X9*M9</f>
        <v>0</v>
      </c>
      <c r="Z9" s="951">
        <f>SUM(Y8:Y9)</f>
        <v>0</v>
      </c>
      <c r="AA9" s="839"/>
      <c r="AB9" s="945" t="s">
        <v>337</v>
      </c>
      <c r="AC9" s="946" t="e">
        <f>+#REF!/12</f>
        <v>#REF!</v>
      </c>
      <c r="AD9" s="839"/>
      <c r="AE9" s="839"/>
      <c r="AF9" s="839"/>
      <c r="AG9" s="839"/>
      <c r="AH9" s="839"/>
      <c r="AI9" s="839"/>
      <c r="AJ9" s="828"/>
      <c r="AK9" s="835"/>
      <c r="AL9" s="842"/>
      <c r="AM9" s="843"/>
      <c r="AN9" s="841"/>
      <c r="AO9" s="83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row>
    <row r="10" spans="1:83" s="58" customFormat="1" ht="6" customHeight="1" x14ac:dyDescent="0.25">
      <c r="A10" s="937"/>
      <c r="B10" s="938"/>
      <c r="C10" s="938"/>
      <c r="D10" s="938"/>
      <c r="E10" s="938"/>
      <c r="F10" s="952"/>
      <c r="G10" s="936"/>
      <c r="H10" s="936"/>
      <c r="I10" s="930"/>
      <c r="J10" s="930"/>
      <c r="K10" s="930"/>
      <c r="M10" s="930"/>
      <c r="N10" s="930"/>
      <c r="O10" s="953"/>
      <c r="P10" s="29"/>
      <c r="W10" s="29"/>
      <c r="X10" s="845"/>
      <c r="Y10" s="839"/>
      <c r="Z10" s="839"/>
      <c r="AA10" s="839"/>
      <c r="AB10" s="839"/>
      <c r="AC10" s="839"/>
      <c r="AD10" s="839"/>
      <c r="AE10" s="839"/>
      <c r="AF10" s="839"/>
      <c r="AG10" s="839"/>
      <c r="AH10" s="839"/>
      <c r="AI10" s="839"/>
      <c r="AJ10" s="828"/>
      <c r="AK10" s="835"/>
      <c r="AL10" s="842"/>
      <c r="AM10" s="843"/>
      <c r="AN10" s="841"/>
      <c r="AO10" s="83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row>
    <row r="11" spans="1:83" s="58" customFormat="1" ht="16.5" customHeight="1" x14ac:dyDescent="0.25">
      <c r="A11" s="1906" t="s">
        <v>879</v>
      </c>
      <c r="B11" s="1907"/>
      <c r="C11" s="1907"/>
      <c r="D11" s="1907"/>
      <c r="E11" s="1907"/>
      <c r="F11" s="1908"/>
      <c r="G11" s="1908"/>
      <c r="H11" s="1908"/>
      <c r="I11" s="1908"/>
      <c r="J11" s="1908"/>
      <c r="K11" s="1909"/>
      <c r="L11" s="29"/>
      <c r="M11" s="1904"/>
      <c r="N11" s="1905"/>
      <c r="O11" s="940" t="s">
        <v>69</v>
      </c>
      <c r="P11" s="29"/>
      <c r="Q11" s="1910" t="s">
        <v>872</v>
      </c>
      <c r="R11" s="1910"/>
      <c r="S11" s="1910"/>
      <c r="T11" s="1910"/>
      <c r="U11" s="1910"/>
      <c r="V11" s="1910"/>
      <c r="W11" s="29"/>
      <c r="X11" s="845">
        <f>VLOOKUP(O11,Settings!$Y$29:$AA$36,3,FALSE)</f>
        <v>12</v>
      </c>
      <c r="Y11" s="944">
        <f>+X11*M11</f>
        <v>0</v>
      </c>
      <c r="Z11" s="845"/>
      <c r="AA11" s="845"/>
      <c r="AB11" s="947" t="e">
        <f>+#REF!</f>
        <v>#REF!</v>
      </c>
      <c r="AC11" s="948" t="e">
        <f>+#REF!</f>
        <v>#REF!</v>
      </c>
      <c r="AD11" s="845"/>
      <c r="AE11" s="845"/>
      <c r="AF11" s="845"/>
      <c r="AG11" s="845"/>
      <c r="AH11" s="186"/>
      <c r="AI11" s="839"/>
      <c r="AJ11" s="828"/>
      <c r="AK11" s="835"/>
      <c r="AL11" s="842"/>
      <c r="AM11" s="843"/>
      <c r="AN11" s="841"/>
      <c r="AO11" s="83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row>
    <row r="12" spans="1:83" s="58" customFormat="1" ht="16.5" customHeight="1" x14ac:dyDescent="0.25">
      <c r="A12" s="1906" t="s">
        <v>1137</v>
      </c>
      <c r="B12" s="1907"/>
      <c r="C12" s="1907"/>
      <c r="D12" s="1907"/>
      <c r="E12" s="1907"/>
      <c r="F12" s="1908"/>
      <c r="G12" s="1908"/>
      <c r="H12" s="1908"/>
      <c r="I12" s="1908"/>
      <c r="J12" s="1908"/>
      <c r="K12" s="1909"/>
      <c r="L12" s="29"/>
      <c r="M12" s="1904"/>
      <c r="N12" s="1905"/>
      <c r="O12" s="940" t="s">
        <v>69</v>
      </c>
      <c r="P12" s="29"/>
      <c r="Q12" s="1898" t="str">
        <f>IF(SUM(Z12)=0,"",Z12/12)</f>
        <v/>
      </c>
      <c r="R12" s="1899"/>
      <c r="S12" s="1900"/>
      <c r="T12" s="1901" t="str">
        <f>IF(Q12="","",SUM(Q12)*12)</f>
        <v/>
      </c>
      <c r="U12" s="1902"/>
      <c r="V12" s="1903"/>
      <c r="W12" s="29"/>
      <c r="X12" s="845">
        <f>VLOOKUP(O12,Settings!$Y$29:$AA$36,3,FALSE)</f>
        <v>12</v>
      </c>
      <c r="Y12" s="944">
        <f t="shared" ref="Y12:Y39" si="0">+X12*M12</f>
        <v>0</v>
      </c>
      <c r="Z12" s="1062">
        <f>SUM(Y11:Y12)</f>
        <v>0</v>
      </c>
      <c r="AA12" s="845"/>
      <c r="AB12" s="945" t="e">
        <f>+#REF!</f>
        <v>#REF!</v>
      </c>
      <c r="AC12" s="946" t="e">
        <f>+#REF!/12</f>
        <v>#REF!</v>
      </c>
      <c r="AD12" s="845"/>
      <c r="AE12" s="845"/>
      <c r="AF12" s="845"/>
      <c r="AG12" s="845"/>
      <c r="AH12" s="186"/>
      <c r="AI12" s="839"/>
      <c r="AJ12" s="828"/>
      <c r="AK12" s="835"/>
      <c r="AL12" s="836"/>
      <c r="AM12" s="828"/>
      <c r="AN12" s="842"/>
      <c r="AO12" s="844"/>
      <c r="AP12" s="841"/>
      <c r="AQ12" s="83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row>
    <row r="13" spans="1:83" s="58" customFormat="1" ht="6" customHeight="1" x14ac:dyDescent="0.2">
      <c r="A13" s="937"/>
      <c r="B13" s="938"/>
      <c r="C13" s="938"/>
      <c r="D13" s="938"/>
      <c r="E13" s="938"/>
      <c r="F13" s="952"/>
      <c r="G13" s="936"/>
      <c r="H13" s="936"/>
      <c r="I13" s="930"/>
      <c r="J13" s="930"/>
      <c r="K13" s="930"/>
      <c r="M13" s="930"/>
      <c r="N13" s="930"/>
      <c r="O13" s="953"/>
      <c r="P13" s="29"/>
      <c r="Q13" s="29"/>
      <c r="R13" s="29"/>
      <c r="S13" s="29"/>
      <c r="T13" s="29"/>
      <c r="U13" s="29"/>
      <c r="V13" s="29"/>
      <c r="W13" s="29"/>
      <c r="X13" s="845"/>
      <c r="Y13" s="845"/>
      <c r="Z13" s="845"/>
      <c r="AA13" s="845"/>
      <c r="AD13" s="845"/>
      <c r="AE13" s="845"/>
      <c r="AF13" s="845"/>
      <c r="AG13" s="845"/>
      <c r="AH13" s="186"/>
      <c r="AI13" s="186"/>
      <c r="AJ13" s="828"/>
      <c r="AK13" s="835"/>
      <c r="AL13" s="836"/>
      <c r="AM13" s="828"/>
      <c r="AN13" s="186"/>
      <c r="AO13" s="186"/>
      <c r="AP13" s="186"/>
      <c r="AQ13" s="845"/>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row>
    <row r="14" spans="1:83" s="58" customFormat="1" ht="16.5" customHeight="1" x14ac:dyDescent="0.25">
      <c r="A14" s="1906" t="s">
        <v>1138</v>
      </c>
      <c r="B14" s="1907"/>
      <c r="C14" s="1907"/>
      <c r="D14" s="1907"/>
      <c r="E14" s="1907"/>
      <c r="F14" s="1908"/>
      <c r="G14" s="1908"/>
      <c r="H14" s="1908"/>
      <c r="I14" s="1908"/>
      <c r="J14" s="1908"/>
      <c r="K14" s="1909"/>
      <c r="M14" s="1904"/>
      <c r="N14" s="1905"/>
      <c r="O14" s="940" t="s">
        <v>69</v>
      </c>
      <c r="P14" s="29"/>
      <c r="Q14" s="1910" t="s">
        <v>1140</v>
      </c>
      <c r="R14" s="1910"/>
      <c r="S14" s="1910"/>
      <c r="T14" s="1910"/>
      <c r="U14" s="1910"/>
      <c r="V14" s="1910"/>
      <c r="W14" s="29"/>
      <c r="X14" s="845">
        <f>VLOOKUP(O14,Settings!$Y$29:$AA$36,3,FALSE)</f>
        <v>12</v>
      </c>
      <c r="Y14" s="944">
        <f t="shared" si="0"/>
        <v>0</v>
      </c>
      <c r="Z14" s="845"/>
      <c r="AA14" s="845"/>
      <c r="AB14" s="945" t="e">
        <f>+#REF!</f>
        <v>#REF!</v>
      </c>
      <c r="AC14" s="946" t="e">
        <f>+#REF!/12</f>
        <v>#REF!</v>
      </c>
      <c r="AD14" s="845"/>
      <c r="AE14" s="845"/>
      <c r="AF14" s="845"/>
      <c r="AG14" s="845"/>
      <c r="AH14" s="186"/>
      <c r="AI14" s="186"/>
      <c r="AJ14" s="186"/>
      <c r="AK14" s="186"/>
      <c r="AL14" s="186"/>
      <c r="AM14" s="186"/>
      <c r="AN14" s="186"/>
      <c r="AO14" s="186"/>
      <c r="AP14" s="186"/>
      <c r="AQ14" s="845"/>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row>
    <row r="15" spans="1:83" s="58" customFormat="1" ht="16.5" customHeight="1" x14ac:dyDescent="0.25">
      <c r="A15" s="1906" t="s">
        <v>1139</v>
      </c>
      <c r="B15" s="1907"/>
      <c r="C15" s="1907"/>
      <c r="D15" s="1907"/>
      <c r="E15" s="1907"/>
      <c r="F15" s="1908"/>
      <c r="G15" s="1908"/>
      <c r="H15" s="1908"/>
      <c r="I15" s="1908"/>
      <c r="J15" s="1908"/>
      <c r="K15" s="1909"/>
      <c r="L15" s="29"/>
      <c r="M15" s="1904"/>
      <c r="N15" s="1905"/>
      <c r="O15" s="940" t="s">
        <v>69</v>
      </c>
      <c r="P15" s="29"/>
      <c r="Q15" s="1898" t="str">
        <f>IF(SUM(Z15)=0,"",Z15/12)</f>
        <v/>
      </c>
      <c r="R15" s="1899"/>
      <c r="S15" s="1900"/>
      <c r="T15" s="1901" t="str">
        <f>IF(Q15="","",SUM(Q15)*12)</f>
        <v/>
      </c>
      <c r="U15" s="1902"/>
      <c r="V15" s="1903"/>
      <c r="W15" s="29"/>
      <c r="X15" s="845">
        <f>VLOOKUP(O15,Settings!$Y$29:$AA$36,3,FALSE)</f>
        <v>12</v>
      </c>
      <c r="Y15" s="944">
        <f t="shared" si="0"/>
        <v>0</v>
      </c>
      <c r="Z15" s="1062">
        <f>SUM(Y14:Y15)</f>
        <v>0</v>
      </c>
      <c r="AA15" s="845"/>
      <c r="AB15" s="945" t="e">
        <f>+#REF!</f>
        <v>#REF!</v>
      </c>
      <c r="AC15" s="946" t="e">
        <f>+#REF!</f>
        <v>#REF!</v>
      </c>
      <c r="AD15" s="845"/>
      <c r="AE15" s="845"/>
      <c r="AF15" s="845"/>
      <c r="AG15" s="845"/>
      <c r="AH15" s="186"/>
      <c r="AI15" s="186"/>
      <c r="AJ15" s="186"/>
      <c r="AK15" s="186"/>
      <c r="AL15" s="186"/>
      <c r="AM15" s="186"/>
      <c r="AN15" s="186"/>
      <c r="AO15" s="186"/>
      <c r="AP15" s="186"/>
      <c r="AQ15" s="845"/>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row>
    <row r="16" spans="1:83" ht="6" customHeight="1" x14ac:dyDescent="0.25">
      <c r="A16" s="937"/>
      <c r="B16" s="938"/>
      <c r="C16" s="938"/>
      <c r="D16" s="938"/>
      <c r="E16" s="938"/>
      <c r="F16" s="952"/>
      <c r="G16" s="936"/>
      <c r="H16" s="936"/>
      <c r="I16" s="936"/>
      <c r="J16" s="210"/>
      <c r="K16" s="210"/>
      <c r="M16" s="210"/>
      <c r="N16" s="210"/>
      <c r="O16" s="954"/>
      <c r="X16" s="845"/>
      <c r="Z16" s="826"/>
      <c r="AA16" s="826"/>
      <c r="AH16" s="186"/>
      <c r="AI16" s="186"/>
      <c r="AJ16" s="186"/>
      <c r="AK16" s="186"/>
      <c r="AL16" s="186"/>
      <c r="AM16" s="186"/>
      <c r="AN16" s="186"/>
      <c r="AO16" s="186"/>
      <c r="AQ16" s="826"/>
      <c r="AR16" s="128"/>
      <c r="CE16" s="29"/>
    </row>
    <row r="17" spans="1:83" s="58" customFormat="1" ht="16.5" customHeight="1" x14ac:dyDescent="0.2">
      <c r="A17" s="1906" t="s">
        <v>765</v>
      </c>
      <c r="B17" s="1907"/>
      <c r="C17" s="1907"/>
      <c r="D17" s="1907"/>
      <c r="E17" s="1907"/>
      <c r="F17" s="1908"/>
      <c r="G17" s="1908"/>
      <c r="H17" s="1908"/>
      <c r="I17" s="1908"/>
      <c r="J17" s="1908"/>
      <c r="K17" s="1909"/>
      <c r="M17" s="1904"/>
      <c r="N17" s="1905"/>
      <c r="O17" s="940" t="s">
        <v>69</v>
      </c>
      <c r="P17" s="29"/>
      <c r="Q17" s="1910" t="s">
        <v>874</v>
      </c>
      <c r="R17" s="1910"/>
      <c r="S17" s="1910"/>
      <c r="T17" s="1910"/>
      <c r="U17" s="1910"/>
      <c r="V17" s="1910"/>
      <c r="W17" s="29"/>
      <c r="X17" s="845">
        <f>VLOOKUP(O17,Settings!$Y$29:$AA$36,3,FALSE)</f>
        <v>12</v>
      </c>
      <c r="Y17" s="944">
        <f t="shared" si="0"/>
        <v>0</v>
      </c>
      <c r="Z17" s="845"/>
      <c r="AA17" s="845"/>
      <c r="AB17" s="845"/>
      <c r="AC17" s="845"/>
      <c r="AD17" s="845"/>
      <c r="AE17" s="845"/>
      <c r="AF17" s="845"/>
      <c r="AG17" s="845"/>
      <c r="AH17" s="186"/>
      <c r="AI17" s="186"/>
      <c r="AJ17" s="828"/>
      <c r="AK17" s="835"/>
      <c r="AL17" s="836"/>
      <c r="AM17" s="828"/>
      <c r="AN17" s="186"/>
      <c r="AO17" s="186"/>
      <c r="AP17" s="186"/>
      <c r="AQ17" s="845"/>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row>
    <row r="18" spans="1:83" s="58" customFormat="1" ht="16.5" customHeight="1" x14ac:dyDescent="0.2">
      <c r="A18" s="1906" t="s">
        <v>873</v>
      </c>
      <c r="B18" s="1907"/>
      <c r="C18" s="1907"/>
      <c r="D18" s="1907"/>
      <c r="E18" s="1907"/>
      <c r="F18" s="1908"/>
      <c r="G18" s="1908"/>
      <c r="H18" s="1908"/>
      <c r="I18" s="1908"/>
      <c r="J18" s="1908"/>
      <c r="K18" s="1909"/>
      <c r="L18" s="29"/>
      <c r="M18" s="1904"/>
      <c r="N18" s="1905"/>
      <c r="O18" s="940" t="s">
        <v>69</v>
      </c>
      <c r="P18" s="29"/>
      <c r="Q18" s="1898" t="str">
        <f>IF(SUM(Z18)=0,"",Z18/12)</f>
        <v/>
      </c>
      <c r="R18" s="1899"/>
      <c r="S18" s="1900"/>
      <c r="T18" s="1901" t="str">
        <f>IF(Q18="","",SUM(Q18)*12)</f>
        <v/>
      </c>
      <c r="U18" s="1902"/>
      <c r="V18" s="1903"/>
      <c r="W18" s="29"/>
      <c r="X18" s="845">
        <f>VLOOKUP(O18,Settings!$Y$29:$AA$36,3,FALSE)</f>
        <v>12</v>
      </c>
      <c r="Y18" s="1063">
        <f t="shared" si="0"/>
        <v>0</v>
      </c>
      <c r="Z18" s="1062">
        <f>SUM(Y17:Y18)</f>
        <v>0</v>
      </c>
      <c r="AA18" s="845"/>
      <c r="AB18" s="947" t="e">
        <f>+#REF!</f>
        <v>#REF!</v>
      </c>
      <c r="AC18" s="948" t="e">
        <f>+#REF!</f>
        <v>#REF!</v>
      </c>
      <c r="AD18" s="845"/>
      <c r="AE18" s="845"/>
      <c r="AF18" s="845"/>
      <c r="AG18" s="845"/>
      <c r="AH18" s="186"/>
      <c r="AI18" s="186"/>
      <c r="AJ18" s="828"/>
      <c r="AK18" s="835"/>
      <c r="AL18" s="836"/>
      <c r="AM18" s="828"/>
      <c r="AN18" s="186"/>
      <c r="AO18" s="186"/>
      <c r="AP18" s="186"/>
      <c r="AQ18" s="845"/>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row>
    <row r="19" spans="1:83" ht="6" customHeight="1" x14ac:dyDescent="0.2">
      <c r="A19" s="937"/>
      <c r="B19" s="938"/>
      <c r="C19" s="938"/>
      <c r="D19" s="938"/>
      <c r="E19" s="938"/>
      <c r="F19" s="952"/>
      <c r="G19" s="936"/>
      <c r="H19" s="936"/>
      <c r="I19" s="936"/>
      <c r="J19" s="210"/>
      <c r="K19" s="210"/>
      <c r="M19" s="210"/>
      <c r="N19" s="210"/>
      <c r="O19" s="953"/>
      <c r="X19" s="845"/>
      <c r="Z19" s="826"/>
      <c r="AA19" s="826"/>
      <c r="AE19" s="845"/>
      <c r="AF19" s="845"/>
      <c r="AG19" s="845"/>
      <c r="AH19" s="186"/>
      <c r="AI19" s="186"/>
      <c r="AJ19" s="828"/>
      <c r="AK19" s="835"/>
      <c r="AL19" s="836"/>
      <c r="AM19" s="828"/>
      <c r="AN19" s="186"/>
      <c r="AO19" s="186"/>
      <c r="AP19" s="186"/>
      <c r="AQ19" s="845"/>
      <c r="AR19" s="209"/>
      <c r="CE19" s="29"/>
    </row>
    <row r="20" spans="1:83" ht="16.5" customHeight="1" x14ac:dyDescent="0.2">
      <c r="A20" s="1906" t="s">
        <v>763</v>
      </c>
      <c r="B20" s="1907"/>
      <c r="C20" s="1907"/>
      <c r="D20" s="1907"/>
      <c r="E20" s="1907"/>
      <c r="F20" s="1908"/>
      <c r="G20" s="1908"/>
      <c r="H20" s="1908"/>
      <c r="I20" s="1908"/>
      <c r="J20" s="1908"/>
      <c r="K20" s="1909"/>
      <c r="M20" s="1904"/>
      <c r="N20" s="1905"/>
      <c r="O20" s="940" t="s">
        <v>69</v>
      </c>
      <c r="X20" s="845">
        <f>VLOOKUP(O20,Settings!$Y$29:$AA$36,3,FALSE)</f>
        <v>12</v>
      </c>
      <c r="Y20" s="944">
        <f t="shared" si="0"/>
        <v>0</v>
      </c>
      <c r="Z20" s="826"/>
      <c r="AA20" s="826"/>
      <c r="AE20" s="845"/>
      <c r="AF20" s="845"/>
      <c r="AG20" s="845"/>
      <c r="AH20" s="186"/>
      <c r="AI20" s="186"/>
      <c r="AJ20" s="828"/>
      <c r="AK20" s="835"/>
      <c r="AL20" s="836"/>
      <c r="AM20" s="828"/>
      <c r="AN20" s="186"/>
      <c r="AO20" s="186"/>
      <c r="AP20" s="186"/>
      <c r="AQ20" s="845"/>
      <c r="AR20" s="209"/>
      <c r="CE20" s="29"/>
    </row>
    <row r="21" spans="1:83" ht="16.5" customHeight="1" x14ac:dyDescent="0.2">
      <c r="A21" s="1906" t="s">
        <v>769</v>
      </c>
      <c r="B21" s="1907"/>
      <c r="C21" s="1907"/>
      <c r="D21" s="1907"/>
      <c r="E21" s="1907"/>
      <c r="F21" s="1908"/>
      <c r="G21" s="1908"/>
      <c r="H21" s="1908"/>
      <c r="I21" s="1908"/>
      <c r="J21" s="1908"/>
      <c r="K21" s="1909"/>
      <c r="M21" s="1904"/>
      <c r="N21" s="1905"/>
      <c r="O21" s="940" t="s">
        <v>69</v>
      </c>
      <c r="P21" s="58"/>
      <c r="X21" s="845">
        <f>VLOOKUP(O21,Settings!$Y$29:$AA$36,3,FALSE)</f>
        <v>12</v>
      </c>
      <c r="Y21" s="944">
        <f t="shared" si="0"/>
        <v>0</v>
      </c>
      <c r="Z21" s="826"/>
      <c r="AA21" s="826"/>
      <c r="AE21" s="845"/>
      <c r="AF21" s="845"/>
      <c r="AG21" s="845"/>
      <c r="AH21" s="186"/>
      <c r="AI21" s="186"/>
      <c r="AJ21" s="828"/>
      <c r="AK21" s="835"/>
      <c r="AL21" s="836"/>
      <c r="AM21" s="828"/>
      <c r="AN21" s="186"/>
      <c r="AO21" s="186"/>
      <c r="AP21" s="186"/>
      <c r="AQ21" s="845"/>
      <c r="AR21" s="209"/>
      <c r="CE21" s="29"/>
    </row>
    <row r="22" spans="1:83" ht="16.5" customHeight="1" x14ac:dyDescent="0.2">
      <c r="A22" s="1906" t="s">
        <v>764</v>
      </c>
      <c r="B22" s="1907"/>
      <c r="C22" s="1907"/>
      <c r="D22" s="1907"/>
      <c r="E22" s="1907"/>
      <c r="F22" s="1908"/>
      <c r="G22" s="1908"/>
      <c r="H22" s="1908"/>
      <c r="I22" s="1908"/>
      <c r="J22" s="1908"/>
      <c r="K22" s="1909"/>
      <c r="M22" s="1904"/>
      <c r="N22" s="1905"/>
      <c r="O22" s="940" t="s">
        <v>69</v>
      </c>
      <c r="P22" s="58"/>
      <c r="Q22" s="1910" t="s">
        <v>877</v>
      </c>
      <c r="R22" s="1910"/>
      <c r="S22" s="1910"/>
      <c r="T22" s="1910"/>
      <c r="U22" s="1910"/>
      <c r="V22" s="1910"/>
      <c r="X22" s="845">
        <f>VLOOKUP(O22,Settings!$Y$29:$AA$36,3,FALSE)</f>
        <v>12</v>
      </c>
      <c r="Y22" s="944">
        <f t="shared" si="0"/>
        <v>0</v>
      </c>
      <c r="Z22" s="826"/>
      <c r="AA22" s="826"/>
      <c r="AE22" s="845"/>
      <c r="AF22" s="845"/>
      <c r="AG22" s="845"/>
      <c r="AH22" s="186"/>
      <c r="AI22" s="186"/>
      <c r="AJ22" s="828"/>
      <c r="AK22" s="835"/>
      <c r="AL22" s="836"/>
      <c r="AM22" s="828"/>
      <c r="AN22" s="186"/>
      <c r="AO22" s="186"/>
      <c r="AP22" s="186"/>
      <c r="AQ22" s="845"/>
      <c r="AR22" s="209"/>
      <c r="CE22" s="29"/>
    </row>
    <row r="23" spans="1:83" ht="16.5" customHeight="1" x14ac:dyDescent="0.2">
      <c r="A23" s="1906" t="s">
        <v>876</v>
      </c>
      <c r="B23" s="1907"/>
      <c r="C23" s="1907"/>
      <c r="D23" s="1907"/>
      <c r="E23" s="1907"/>
      <c r="F23" s="1908"/>
      <c r="G23" s="1908"/>
      <c r="H23" s="1908"/>
      <c r="I23" s="1908"/>
      <c r="J23" s="1908"/>
      <c r="K23" s="1909"/>
      <c r="L23" s="58"/>
      <c r="M23" s="1904"/>
      <c r="N23" s="1905"/>
      <c r="O23" s="940" t="s">
        <v>69</v>
      </c>
      <c r="P23" s="58"/>
      <c r="Q23" s="1898" t="str">
        <f>IF(SUM(Z23)=0,"",Z23/12)</f>
        <v/>
      </c>
      <c r="R23" s="1899"/>
      <c r="S23" s="1900"/>
      <c r="T23" s="1901" t="str">
        <f>IF(Q23="","",SUM(Q23)*12)</f>
        <v/>
      </c>
      <c r="U23" s="1902"/>
      <c r="V23" s="1903"/>
      <c r="X23" s="845">
        <f>VLOOKUP(O23,Settings!$Y$29:$AA$36,3,FALSE)</f>
        <v>12</v>
      </c>
      <c r="Y23" s="1063">
        <f t="shared" si="0"/>
        <v>0</v>
      </c>
      <c r="Z23" s="1062">
        <f>SUM(Y20:Y23)</f>
        <v>0</v>
      </c>
      <c r="AA23" s="826"/>
      <c r="AJ23" s="828"/>
      <c r="AK23" s="835"/>
      <c r="AL23" s="836"/>
      <c r="AM23" s="828"/>
      <c r="AQ23" s="826"/>
      <c r="AR23" s="128"/>
      <c r="CE23" s="29"/>
    </row>
    <row r="24" spans="1:83" s="58" customFormat="1" ht="6" customHeight="1" x14ac:dyDescent="0.2">
      <c r="A24" s="937"/>
      <c r="B24" s="938"/>
      <c r="C24" s="938"/>
      <c r="D24" s="938"/>
      <c r="E24" s="938"/>
      <c r="F24" s="952"/>
      <c r="G24" s="936"/>
      <c r="H24" s="936"/>
      <c r="I24" s="930"/>
      <c r="J24" s="930"/>
      <c r="K24" s="930"/>
      <c r="M24" s="930"/>
      <c r="N24" s="930"/>
      <c r="O24" s="953"/>
      <c r="P24" s="29"/>
      <c r="Q24" s="29"/>
      <c r="R24" s="29"/>
      <c r="S24" s="29"/>
      <c r="T24" s="29"/>
      <c r="U24" s="29"/>
      <c r="V24" s="29"/>
      <c r="W24" s="29"/>
      <c r="X24" s="845"/>
      <c r="Y24" s="845"/>
      <c r="Z24" s="845"/>
      <c r="AA24" s="845"/>
      <c r="AB24" s="845"/>
      <c r="AC24" s="845"/>
      <c r="AD24" s="845"/>
      <c r="AE24" s="845"/>
      <c r="AF24" s="845"/>
      <c r="AG24" s="845"/>
      <c r="AH24" s="186"/>
      <c r="AI24" s="186"/>
      <c r="AJ24" s="828"/>
      <c r="AK24" s="835"/>
      <c r="AL24" s="836"/>
      <c r="AM24" s="828"/>
      <c r="AN24" s="186"/>
      <c r="AO24" s="186"/>
      <c r="AP24" s="186"/>
      <c r="AQ24" s="845"/>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row>
    <row r="25" spans="1:83" s="58" customFormat="1" ht="16.5" customHeight="1" x14ac:dyDescent="0.25">
      <c r="A25" s="1906" t="s">
        <v>1135</v>
      </c>
      <c r="B25" s="1907"/>
      <c r="C25" s="1907"/>
      <c r="D25" s="1907"/>
      <c r="E25" s="1907"/>
      <c r="F25" s="1908"/>
      <c r="G25" s="1908"/>
      <c r="H25" s="1908"/>
      <c r="I25" s="1908"/>
      <c r="J25" s="1908"/>
      <c r="K25" s="1909"/>
      <c r="M25" s="1904"/>
      <c r="N25" s="1905"/>
      <c r="O25" s="940" t="s">
        <v>69</v>
      </c>
      <c r="P25" s="29"/>
      <c r="Q25" s="1910" t="s">
        <v>871</v>
      </c>
      <c r="R25" s="1910"/>
      <c r="S25" s="1910"/>
      <c r="T25" s="1910"/>
      <c r="U25" s="1910"/>
      <c r="V25" s="1910"/>
      <c r="W25" s="29"/>
      <c r="X25" s="845">
        <f>VLOOKUP(O25,Settings!$Y$29:$AA$36,3,FALSE)</f>
        <v>12</v>
      </c>
      <c r="Y25" s="944">
        <f t="shared" si="0"/>
        <v>0</v>
      </c>
      <c r="Z25" s="845"/>
      <c r="AA25" s="845"/>
      <c r="AB25" s="845"/>
      <c r="AC25" s="845"/>
      <c r="AD25" s="845"/>
      <c r="AE25" s="845"/>
      <c r="AF25" s="845"/>
      <c r="AG25" s="845"/>
      <c r="AH25" s="186"/>
      <c r="AI25" s="186"/>
      <c r="AJ25" s="186"/>
      <c r="AK25" s="186"/>
      <c r="AL25" s="186"/>
      <c r="AM25" s="186"/>
      <c r="AN25" s="186"/>
      <c r="AO25" s="186"/>
      <c r="AP25" s="186"/>
      <c r="AQ25" s="845"/>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row>
    <row r="26" spans="1:83" s="58" customFormat="1" ht="16.5" customHeight="1" x14ac:dyDescent="0.25">
      <c r="A26" s="1906" t="s">
        <v>878</v>
      </c>
      <c r="B26" s="1907"/>
      <c r="C26" s="1907"/>
      <c r="D26" s="1907"/>
      <c r="E26" s="1907"/>
      <c r="F26" s="1908"/>
      <c r="G26" s="1908"/>
      <c r="H26" s="1908"/>
      <c r="I26" s="1908"/>
      <c r="J26" s="1908"/>
      <c r="K26" s="1909"/>
      <c r="L26" s="29"/>
      <c r="M26" s="1904"/>
      <c r="N26" s="1905"/>
      <c r="O26" s="940" t="s">
        <v>69</v>
      </c>
      <c r="P26" s="29"/>
      <c r="Q26" s="1898" t="str">
        <f>IF(SUM(Y26)=0,"",Z26/12)</f>
        <v/>
      </c>
      <c r="R26" s="1899"/>
      <c r="S26" s="1900"/>
      <c r="T26" s="1901" t="str">
        <f>IF(Q26="","",SUM(Q26)*12)</f>
        <v/>
      </c>
      <c r="U26" s="1902"/>
      <c r="V26" s="1903"/>
      <c r="W26" s="29"/>
      <c r="X26" s="845">
        <f>VLOOKUP(O26,Settings!$Y$29:$AA$36,3,FALSE)</f>
        <v>12</v>
      </c>
      <c r="Y26" s="1063">
        <f t="shared" si="0"/>
        <v>0</v>
      </c>
      <c r="Z26" s="1062">
        <f>SUM(Y25:Y26)</f>
        <v>0</v>
      </c>
      <c r="AA26" s="845"/>
      <c r="AB26" s="845"/>
      <c r="AC26" s="845"/>
      <c r="AD26" s="845"/>
      <c r="AE26" s="845"/>
      <c r="AF26" s="845"/>
      <c r="AG26" s="845"/>
      <c r="AH26" s="186"/>
      <c r="AI26" s="186"/>
      <c r="AJ26" s="186"/>
      <c r="AK26" s="186"/>
      <c r="AL26" s="186"/>
      <c r="AM26" s="186"/>
      <c r="AN26" s="186"/>
      <c r="AO26" s="186"/>
      <c r="AP26" s="186"/>
      <c r="AQ26" s="845"/>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row>
    <row r="27" spans="1:83" ht="6" customHeight="1" x14ac:dyDescent="0.25">
      <c r="A27" s="937"/>
      <c r="B27" s="938"/>
      <c r="C27" s="938"/>
      <c r="D27" s="938"/>
      <c r="E27" s="938"/>
      <c r="F27" s="952"/>
      <c r="G27" s="936"/>
      <c r="H27" s="936"/>
      <c r="I27" s="936"/>
      <c r="J27" s="210"/>
      <c r="K27" s="210"/>
      <c r="M27" s="210"/>
      <c r="N27" s="210"/>
      <c r="O27" s="954"/>
      <c r="X27" s="845"/>
      <c r="Z27" s="826"/>
      <c r="AA27" s="826"/>
      <c r="AH27" s="186"/>
      <c r="AI27" s="186"/>
      <c r="AJ27" s="186"/>
      <c r="AK27" s="186"/>
      <c r="AL27" s="186"/>
      <c r="AM27" s="186"/>
      <c r="AN27" s="186"/>
      <c r="AO27" s="186"/>
      <c r="AQ27" s="826"/>
      <c r="AR27" s="128"/>
      <c r="CE27" s="29"/>
    </row>
    <row r="28" spans="1:83" ht="16.5" customHeight="1" x14ac:dyDescent="0.25">
      <c r="A28" s="1906" t="s">
        <v>890</v>
      </c>
      <c r="B28" s="1907"/>
      <c r="C28" s="1907"/>
      <c r="D28" s="1907"/>
      <c r="E28" s="1907"/>
      <c r="F28" s="1908"/>
      <c r="G28" s="1908"/>
      <c r="H28" s="1908"/>
      <c r="I28" s="1908"/>
      <c r="J28" s="1908"/>
      <c r="K28" s="1909"/>
      <c r="M28" s="1904"/>
      <c r="N28" s="1905"/>
      <c r="O28" s="940" t="s">
        <v>69</v>
      </c>
      <c r="Q28" s="58"/>
      <c r="R28" s="58"/>
      <c r="S28" s="58"/>
      <c r="T28" s="58"/>
      <c r="U28" s="58"/>
      <c r="V28" s="58"/>
      <c r="X28" s="845">
        <f>VLOOKUP(O28,Settings!$Y$29:$AA$36,3,FALSE)</f>
        <v>12</v>
      </c>
      <c r="Y28" s="944">
        <f t="shared" si="0"/>
        <v>0</v>
      </c>
      <c r="Z28" s="826"/>
      <c r="AA28" s="826"/>
      <c r="AH28" s="186"/>
      <c r="AI28" s="186"/>
      <c r="AJ28" s="186"/>
      <c r="AK28" s="186"/>
      <c r="AQ28" s="826"/>
      <c r="AR28" s="128"/>
      <c r="CE28" s="29"/>
    </row>
    <row r="29" spans="1:83" ht="16.5" customHeight="1" x14ac:dyDescent="0.25">
      <c r="A29" s="1906" t="s">
        <v>891</v>
      </c>
      <c r="B29" s="1907"/>
      <c r="C29" s="1907"/>
      <c r="D29" s="1907"/>
      <c r="E29" s="1907"/>
      <c r="F29" s="1908"/>
      <c r="G29" s="1908"/>
      <c r="H29" s="1908"/>
      <c r="I29" s="1908"/>
      <c r="J29" s="1908"/>
      <c r="K29" s="1909"/>
      <c r="M29" s="1904"/>
      <c r="N29" s="1905"/>
      <c r="O29" s="940" t="s">
        <v>81</v>
      </c>
      <c r="Q29" s="1910" t="s">
        <v>893</v>
      </c>
      <c r="R29" s="1910"/>
      <c r="S29" s="1910"/>
      <c r="T29" s="1910"/>
      <c r="U29" s="1910"/>
      <c r="V29" s="1910"/>
      <c r="X29" s="845">
        <f>VLOOKUP(O29,Settings!$Y$29:$AA$36,3,FALSE)</f>
        <v>1</v>
      </c>
      <c r="Y29" s="944">
        <f t="shared" si="0"/>
        <v>0</v>
      </c>
      <c r="Z29" s="826"/>
      <c r="AA29" s="826"/>
      <c r="AH29" s="186"/>
      <c r="AI29" s="186"/>
      <c r="AJ29" s="186"/>
      <c r="AK29" s="186"/>
      <c r="AQ29" s="826"/>
      <c r="AR29" s="128"/>
      <c r="CE29" s="29"/>
    </row>
    <row r="30" spans="1:83" ht="16.5" customHeight="1" x14ac:dyDescent="0.25">
      <c r="A30" s="1906" t="s">
        <v>892</v>
      </c>
      <c r="B30" s="1907"/>
      <c r="C30" s="1907"/>
      <c r="D30" s="1907"/>
      <c r="E30" s="1907"/>
      <c r="F30" s="1908"/>
      <c r="G30" s="1908"/>
      <c r="H30" s="1908"/>
      <c r="I30" s="1908"/>
      <c r="J30" s="1908"/>
      <c r="K30" s="1909"/>
      <c r="M30" s="1904"/>
      <c r="N30" s="1905"/>
      <c r="O30" s="940" t="s">
        <v>69</v>
      </c>
      <c r="Q30" s="1898" t="str">
        <f>IF(SUM(Z30)=0,"",Z30/12)</f>
        <v/>
      </c>
      <c r="R30" s="1899"/>
      <c r="S30" s="1900"/>
      <c r="T30" s="1901" t="str">
        <f>IF(Q30="","",SUM(Q30)*12)</f>
        <v/>
      </c>
      <c r="U30" s="1902"/>
      <c r="V30" s="1903"/>
      <c r="X30" s="845">
        <f>VLOOKUP(O30,Settings!$Y$29:$AA$36,3,FALSE)</f>
        <v>12</v>
      </c>
      <c r="Y30" s="1063">
        <f t="shared" si="0"/>
        <v>0</v>
      </c>
      <c r="Z30" s="1062">
        <f>SUM(Y28:Y30)</f>
        <v>0</v>
      </c>
      <c r="AA30" s="826"/>
      <c r="AH30" s="186"/>
      <c r="AI30" s="186"/>
      <c r="AJ30" s="186"/>
      <c r="AK30" s="186"/>
      <c r="AQ30" s="826"/>
      <c r="AR30" s="128"/>
      <c r="CE30" s="29"/>
    </row>
    <row r="31" spans="1:83" ht="6" customHeight="1" x14ac:dyDescent="0.25">
      <c r="A31" s="937"/>
      <c r="B31" s="938"/>
      <c r="C31" s="938"/>
      <c r="D31" s="938"/>
      <c r="E31" s="938"/>
      <c r="F31" s="952"/>
      <c r="G31" s="936"/>
      <c r="H31" s="936"/>
      <c r="I31" s="936"/>
      <c r="J31" s="210"/>
      <c r="K31" s="210"/>
      <c r="M31" s="210"/>
      <c r="N31" s="210"/>
      <c r="O31" s="954"/>
      <c r="Z31" s="826"/>
      <c r="AA31" s="826"/>
      <c r="AH31" s="186"/>
      <c r="AI31" s="186"/>
      <c r="AJ31" s="186"/>
      <c r="AK31" s="186"/>
      <c r="AL31" s="186"/>
      <c r="AM31" s="186"/>
      <c r="AN31" s="186"/>
      <c r="AO31" s="186"/>
      <c r="AQ31" s="826"/>
      <c r="AR31" s="128"/>
      <c r="CE31" s="29"/>
    </row>
    <row r="32" spans="1:83" ht="16.5" customHeight="1" x14ac:dyDescent="0.25">
      <c r="A32" s="1906" t="s">
        <v>1134</v>
      </c>
      <c r="B32" s="1907"/>
      <c r="C32" s="1907"/>
      <c r="D32" s="1907"/>
      <c r="E32" s="1907"/>
      <c r="F32" s="1908"/>
      <c r="G32" s="1908"/>
      <c r="H32" s="1908"/>
      <c r="I32" s="1908"/>
      <c r="J32" s="1908"/>
      <c r="K32" s="1909"/>
      <c r="L32" s="58"/>
      <c r="M32" s="1904"/>
      <c r="N32" s="1905"/>
      <c r="O32" s="940" t="s">
        <v>69</v>
      </c>
      <c r="Q32" s="1910" t="s">
        <v>895</v>
      </c>
      <c r="R32" s="1910"/>
      <c r="S32" s="1910"/>
      <c r="T32" s="1910"/>
      <c r="U32" s="1910"/>
      <c r="V32" s="1910"/>
      <c r="X32" s="845">
        <f>VLOOKUP(O32,Settings!$Y$29:$AA$36,3,FALSE)</f>
        <v>12</v>
      </c>
      <c r="Y32" s="944">
        <f t="shared" si="0"/>
        <v>0</v>
      </c>
      <c r="Z32" s="826"/>
      <c r="AA32" s="826"/>
      <c r="AH32" s="186"/>
      <c r="AI32" s="186"/>
      <c r="AJ32" s="186"/>
      <c r="AK32" s="186"/>
      <c r="AQ32" s="826"/>
      <c r="AR32" s="128"/>
      <c r="CE32" s="29"/>
    </row>
    <row r="33" spans="1:83" ht="16.5" customHeight="1" x14ac:dyDescent="0.25">
      <c r="A33" s="1906" t="s">
        <v>894</v>
      </c>
      <c r="B33" s="1907"/>
      <c r="C33" s="1907"/>
      <c r="D33" s="1907"/>
      <c r="E33" s="1907"/>
      <c r="F33" s="1908"/>
      <c r="G33" s="1908"/>
      <c r="H33" s="1908"/>
      <c r="I33" s="1908"/>
      <c r="J33" s="1908"/>
      <c r="K33" s="1909"/>
      <c r="M33" s="1904"/>
      <c r="N33" s="1905"/>
      <c r="O33" s="940" t="s">
        <v>69</v>
      </c>
      <c r="Q33" s="1898" t="str">
        <f>IF(SUM(Z33)=0,"",Z33/12)</f>
        <v/>
      </c>
      <c r="R33" s="1899"/>
      <c r="S33" s="1900"/>
      <c r="T33" s="1901" t="str">
        <f>IF(Q33="","",SUM(Q33)*12)</f>
        <v/>
      </c>
      <c r="U33" s="1902"/>
      <c r="V33" s="1903"/>
      <c r="X33" s="845">
        <f>VLOOKUP(O33,Settings!$Y$29:$AA$36,3,FALSE)</f>
        <v>12</v>
      </c>
      <c r="Y33" s="1063">
        <f t="shared" si="0"/>
        <v>0</v>
      </c>
      <c r="Z33" s="1062">
        <f>SUM(Y32:Y33)</f>
        <v>0</v>
      </c>
      <c r="AA33" s="826"/>
      <c r="AQ33" s="826"/>
      <c r="AR33" s="128"/>
      <c r="CE33" s="29"/>
    </row>
    <row r="34" spans="1:83" ht="6" customHeight="1" x14ac:dyDescent="0.25">
      <c r="A34" s="937"/>
      <c r="B34" s="938"/>
      <c r="C34" s="938"/>
      <c r="D34" s="938"/>
      <c r="E34" s="938"/>
      <c r="F34" s="952"/>
      <c r="G34" s="936"/>
      <c r="H34" s="936"/>
      <c r="I34" s="936"/>
      <c r="J34" s="210"/>
      <c r="K34" s="210"/>
      <c r="M34" s="210"/>
      <c r="N34" s="210"/>
      <c r="O34" s="954"/>
      <c r="X34" s="845"/>
      <c r="Z34" s="826"/>
      <c r="AA34" s="826"/>
      <c r="AQ34" s="826"/>
      <c r="AR34" s="128"/>
      <c r="CE34" s="29"/>
    </row>
    <row r="35" spans="1:83" ht="16.5" customHeight="1" x14ac:dyDescent="0.25">
      <c r="A35" s="1906" t="s">
        <v>897</v>
      </c>
      <c r="B35" s="1907"/>
      <c r="C35" s="1907"/>
      <c r="D35" s="1907"/>
      <c r="E35" s="1907"/>
      <c r="F35" s="1908"/>
      <c r="G35" s="1908"/>
      <c r="H35" s="1908"/>
      <c r="I35" s="1908"/>
      <c r="J35" s="1908"/>
      <c r="K35" s="1909"/>
      <c r="L35" s="58"/>
      <c r="M35" s="1904"/>
      <c r="N35" s="1905"/>
      <c r="O35" s="940" t="s">
        <v>69</v>
      </c>
      <c r="Q35" s="1910" t="s">
        <v>896</v>
      </c>
      <c r="R35" s="1910"/>
      <c r="S35" s="1910"/>
      <c r="T35" s="1910"/>
      <c r="U35" s="1910"/>
      <c r="V35" s="1910"/>
      <c r="X35" s="845">
        <f>VLOOKUP(O35,Settings!$Y$29:$AA$36,3,FALSE)</f>
        <v>12</v>
      </c>
      <c r="Y35" s="944">
        <f t="shared" si="0"/>
        <v>0</v>
      </c>
      <c r="Z35" s="826"/>
      <c r="AA35" s="826"/>
      <c r="AQ35" s="826"/>
      <c r="AR35" s="128"/>
      <c r="CE35" s="29"/>
    </row>
    <row r="36" spans="1:83" ht="16.5" customHeight="1" x14ac:dyDescent="0.25">
      <c r="A36" s="1906" t="s">
        <v>898</v>
      </c>
      <c r="B36" s="1907"/>
      <c r="C36" s="1907"/>
      <c r="D36" s="1907"/>
      <c r="E36" s="1907"/>
      <c r="F36" s="1908"/>
      <c r="G36" s="1908"/>
      <c r="H36" s="1908"/>
      <c r="I36" s="1908"/>
      <c r="J36" s="1908"/>
      <c r="K36" s="1909"/>
      <c r="M36" s="1904"/>
      <c r="N36" s="1905"/>
      <c r="O36" s="940" t="s">
        <v>69</v>
      </c>
      <c r="Q36" s="1898" t="str">
        <f>IF(SUM(Z36)=0,"",Z36/12)</f>
        <v/>
      </c>
      <c r="R36" s="1899"/>
      <c r="S36" s="1900"/>
      <c r="T36" s="1901" t="str">
        <f>IF(Q36="","",SUM(Q36)*12)</f>
        <v/>
      </c>
      <c r="U36" s="1902"/>
      <c r="V36" s="1903"/>
      <c r="X36" s="845">
        <f>VLOOKUP(O36,Settings!$Y$29:$AA$36,3,FALSE)</f>
        <v>12</v>
      </c>
      <c r="Y36" s="1063">
        <f t="shared" si="0"/>
        <v>0</v>
      </c>
      <c r="Z36" s="1062">
        <f>SUM(Y35:Y36)</f>
        <v>0</v>
      </c>
      <c r="AA36" s="826"/>
      <c r="AQ36" s="826"/>
      <c r="AR36" s="128"/>
      <c r="CE36" s="29"/>
    </row>
    <row r="37" spans="1:83" ht="6" customHeight="1" x14ac:dyDescent="0.25">
      <c r="A37" s="937"/>
      <c r="B37" s="938"/>
      <c r="C37" s="938"/>
      <c r="D37" s="938"/>
      <c r="E37" s="938"/>
      <c r="F37" s="952"/>
      <c r="G37" s="936"/>
      <c r="H37" s="936"/>
      <c r="I37" s="936"/>
      <c r="J37" s="210"/>
      <c r="K37" s="210"/>
      <c r="M37" s="210"/>
      <c r="N37" s="210"/>
      <c r="O37" s="954"/>
      <c r="X37" s="845"/>
      <c r="Z37" s="826"/>
      <c r="AA37" s="826"/>
      <c r="AQ37" s="826"/>
      <c r="AR37" s="128"/>
      <c r="CE37" s="29"/>
    </row>
    <row r="38" spans="1:83" ht="16.5" customHeight="1" x14ac:dyDescent="0.25">
      <c r="A38" s="1906" t="s">
        <v>899</v>
      </c>
      <c r="B38" s="1907"/>
      <c r="C38" s="1907"/>
      <c r="D38" s="1907"/>
      <c r="E38" s="1907"/>
      <c r="F38" s="1908"/>
      <c r="G38" s="1908"/>
      <c r="H38" s="1908"/>
      <c r="I38" s="1908"/>
      <c r="J38" s="1908"/>
      <c r="K38" s="1909"/>
      <c r="L38" s="58"/>
      <c r="M38" s="1904"/>
      <c r="N38" s="1905"/>
      <c r="O38" s="940" t="s">
        <v>69</v>
      </c>
      <c r="Q38" s="1910" t="s">
        <v>19</v>
      </c>
      <c r="R38" s="1910"/>
      <c r="S38" s="1910"/>
      <c r="T38" s="1910"/>
      <c r="U38" s="1910"/>
      <c r="V38" s="1910"/>
      <c r="X38" s="845">
        <f>VLOOKUP(O38,Settings!$Y$29:$AA$36,3,FALSE)</f>
        <v>12</v>
      </c>
      <c r="Y38" s="944">
        <f t="shared" si="0"/>
        <v>0</v>
      </c>
    </row>
    <row r="39" spans="1:83" ht="16.5" customHeight="1" x14ac:dyDescent="0.25">
      <c r="A39" s="1906" t="s">
        <v>19</v>
      </c>
      <c r="B39" s="1907"/>
      <c r="C39" s="1907"/>
      <c r="D39" s="1907"/>
      <c r="E39" s="1907"/>
      <c r="F39" s="1908"/>
      <c r="G39" s="1908"/>
      <c r="H39" s="1908"/>
      <c r="I39" s="1908"/>
      <c r="J39" s="1908"/>
      <c r="K39" s="1909"/>
      <c r="M39" s="1904"/>
      <c r="N39" s="1905"/>
      <c r="O39" s="940" t="s">
        <v>69</v>
      </c>
      <c r="Q39" s="1898" t="str">
        <f>IF(SUM(Z39)=0,"",Z39/12)</f>
        <v/>
      </c>
      <c r="R39" s="1899"/>
      <c r="S39" s="1900"/>
      <c r="T39" s="1901" t="str">
        <f>IF(Q39="","",SUM(Q39)*12)</f>
        <v/>
      </c>
      <c r="U39" s="1902"/>
      <c r="V39" s="1903"/>
      <c r="X39" s="845">
        <f>VLOOKUP(O39,Settings!$Y$29:$AA$36,3,FALSE)</f>
        <v>12</v>
      </c>
      <c r="Y39" s="1063">
        <f t="shared" si="0"/>
        <v>0</v>
      </c>
      <c r="Z39" s="1062">
        <f>SUM(Y38:Y39)</f>
        <v>0</v>
      </c>
    </row>
    <row r="40" spans="1:83" ht="6" customHeight="1" x14ac:dyDescent="0.25">
      <c r="A40" s="937"/>
      <c r="B40" s="938"/>
      <c r="C40" s="938"/>
      <c r="D40" s="938"/>
      <c r="E40" s="938"/>
      <c r="F40" s="938"/>
      <c r="G40" s="950"/>
      <c r="H40" s="950"/>
      <c r="I40" s="950"/>
      <c r="O40" s="939"/>
    </row>
    <row r="41" spans="1:83" ht="16.5" customHeight="1" x14ac:dyDescent="0.25">
      <c r="A41" s="1929" t="s">
        <v>1001</v>
      </c>
      <c r="B41" s="1930"/>
      <c r="C41" s="1930"/>
      <c r="D41" s="1930"/>
      <c r="E41" s="1930"/>
      <c r="F41" s="1930"/>
      <c r="G41" s="1930"/>
      <c r="H41" s="1930"/>
      <c r="I41" s="1930"/>
      <c r="J41" s="1930"/>
      <c r="K41" s="1930"/>
      <c r="L41" s="1930"/>
      <c r="M41" s="1930"/>
      <c r="N41" s="1930"/>
      <c r="Q41" s="1931" t="str">
        <f>IF(SUM(Q7:S39)=0,"",SUM(Q7:S39))</f>
        <v/>
      </c>
      <c r="R41" s="1932"/>
      <c r="S41" s="1933"/>
      <c r="T41" s="1931" t="str">
        <f>IF(SUM(T7:V39)=0,"",SUM(T7:V39))</f>
        <v/>
      </c>
      <c r="U41" s="1932"/>
      <c r="V41" s="1933"/>
      <c r="Y41" s="1064">
        <f>SUM(Y8:Y40)</f>
        <v>0</v>
      </c>
      <c r="Z41" s="1064">
        <f>SUM(Z8:Z40)</f>
        <v>0</v>
      </c>
    </row>
    <row r="42" spans="1:83" ht="15" x14ac:dyDescent="0.2">
      <c r="A42" s="1934" t="s">
        <v>767</v>
      </c>
      <c r="B42" s="1934"/>
      <c r="C42" s="1934"/>
      <c r="D42" s="942" t="s">
        <v>766</v>
      </c>
    </row>
    <row r="43" spans="1:83" ht="18" customHeight="1" x14ac:dyDescent="0.25">
      <c r="M43" s="1896" t="s">
        <v>1441</v>
      </c>
      <c r="N43" s="1896"/>
      <c r="O43" s="1896"/>
      <c r="P43" s="1896"/>
      <c r="Q43" s="1894">
        <f>+Z43/12</f>
        <v>0</v>
      </c>
      <c r="R43" s="1894"/>
      <c r="S43" s="1894"/>
      <c r="T43" s="1895" t="s">
        <v>1442</v>
      </c>
      <c r="U43" s="1895"/>
      <c r="V43" s="1895"/>
      <c r="Y43" s="1473" t="s">
        <v>1441</v>
      </c>
      <c r="Z43" s="1474">
        <f>SUM(Z7:Z39)</f>
        <v>0</v>
      </c>
    </row>
    <row r="44" spans="1:83" ht="18" customHeight="1" x14ac:dyDescent="0.25"/>
    <row r="45" spans="1:83" ht="18" customHeight="1" x14ac:dyDescent="0.25"/>
    <row r="46" spans="1:83" ht="18" customHeight="1" x14ac:dyDescent="0.25"/>
    <row r="47" spans="1:83" ht="18" customHeight="1" x14ac:dyDescent="0.25"/>
    <row r="48" spans="1:83"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sheetData>
  <mergeCells count="132">
    <mergeCell ref="F30:K30"/>
    <mergeCell ref="M32:N32"/>
    <mergeCell ref="T36:V36"/>
    <mergeCell ref="Q36:S36"/>
    <mergeCell ref="M33:N33"/>
    <mergeCell ref="Q32:V32"/>
    <mergeCell ref="F33:K33"/>
    <mergeCell ref="F35:K35"/>
    <mergeCell ref="M35:N35"/>
    <mergeCell ref="Q35:V35"/>
    <mergeCell ref="Q30:S30"/>
    <mergeCell ref="T30:V30"/>
    <mergeCell ref="A42:C42"/>
    <mergeCell ref="Q8:V8"/>
    <mergeCell ref="Q17:V17"/>
    <mergeCell ref="M17:N17"/>
    <mergeCell ref="M18:N18"/>
    <mergeCell ref="M20:N20"/>
    <mergeCell ref="M21:N21"/>
    <mergeCell ref="F8:K8"/>
    <mergeCell ref="F9:K9"/>
    <mergeCell ref="A26:E26"/>
    <mergeCell ref="A11:E11"/>
    <mergeCell ref="A12:E12"/>
    <mergeCell ref="A28:E28"/>
    <mergeCell ref="A29:E29"/>
    <mergeCell ref="A30:E30"/>
    <mergeCell ref="A20:E20"/>
    <mergeCell ref="A21:E21"/>
    <mergeCell ref="A22:E22"/>
    <mergeCell ref="A23:E23"/>
    <mergeCell ref="T12:V12"/>
    <mergeCell ref="F17:K17"/>
    <mergeCell ref="F18:K18"/>
    <mergeCell ref="F20:K20"/>
    <mergeCell ref="F21:K21"/>
    <mergeCell ref="A41:N41"/>
    <mergeCell ref="Q29:V29"/>
    <mergeCell ref="A15:E15"/>
    <mergeCell ref="F22:K22"/>
    <mergeCell ref="F23:K23"/>
    <mergeCell ref="F14:K14"/>
    <mergeCell ref="M14:N14"/>
    <mergeCell ref="Q14:V14"/>
    <mergeCell ref="T15:V15"/>
    <mergeCell ref="M23:N23"/>
    <mergeCell ref="A36:E36"/>
    <mergeCell ref="F36:K36"/>
    <mergeCell ref="M36:N36"/>
    <mergeCell ref="A38:E38"/>
    <mergeCell ref="F38:K38"/>
    <mergeCell ref="M38:N38"/>
    <mergeCell ref="Q38:V38"/>
    <mergeCell ref="T41:V41"/>
    <mergeCell ref="T33:V33"/>
    <mergeCell ref="Q41:S41"/>
    <mergeCell ref="Q33:S33"/>
    <mergeCell ref="T39:V39"/>
    <mergeCell ref="F28:K28"/>
    <mergeCell ref="F29:K29"/>
    <mergeCell ref="Q11:V11"/>
    <mergeCell ref="M11:N11"/>
    <mergeCell ref="F7:K7"/>
    <mergeCell ref="Q12:S12"/>
    <mergeCell ref="A18:E18"/>
    <mergeCell ref="A17:E17"/>
    <mergeCell ref="M22:N22"/>
    <mergeCell ref="F25:K25"/>
    <mergeCell ref="F26:K26"/>
    <mergeCell ref="F12:K12"/>
    <mergeCell ref="T5:V5"/>
    <mergeCell ref="A5:G5"/>
    <mergeCell ref="Q5:S5"/>
    <mergeCell ref="N5:O5"/>
    <mergeCell ref="T6:V6"/>
    <mergeCell ref="Q6:S6"/>
    <mergeCell ref="A7:E7"/>
    <mergeCell ref="A8:E8"/>
    <mergeCell ref="A9:E9"/>
    <mergeCell ref="M7:N7"/>
    <mergeCell ref="M8:N8"/>
    <mergeCell ref="M9:N9"/>
    <mergeCell ref="A6:E6"/>
    <mergeCell ref="M6:N6"/>
    <mergeCell ref="AN6:AP6"/>
    <mergeCell ref="Q18:S18"/>
    <mergeCell ref="T18:V18"/>
    <mergeCell ref="AB5:AC5"/>
    <mergeCell ref="T23:V23"/>
    <mergeCell ref="AE7:AG7"/>
    <mergeCell ref="AB6:AD6"/>
    <mergeCell ref="AE6:AG6"/>
    <mergeCell ref="A3:M3"/>
    <mergeCell ref="T3:V3"/>
    <mergeCell ref="Q3:S3"/>
    <mergeCell ref="N3:O3"/>
    <mergeCell ref="A4:G4"/>
    <mergeCell ref="T4:V4"/>
    <mergeCell ref="Q4:S4"/>
    <mergeCell ref="N4:O4"/>
    <mergeCell ref="F6:K6"/>
    <mergeCell ref="M12:N12"/>
    <mergeCell ref="A14:E14"/>
    <mergeCell ref="Q23:S23"/>
    <mergeCell ref="Q22:V22"/>
    <mergeCell ref="F15:K15"/>
    <mergeCell ref="M15:N15"/>
    <mergeCell ref="Q15:S15"/>
    <mergeCell ref="Q43:S43"/>
    <mergeCell ref="T43:V43"/>
    <mergeCell ref="M43:P43"/>
    <mergeCell ref="A1:O1"/>
    <mergeCell ref="Q26:S26"/>
    <mergeCell ref="T26:V26"/>
    <mergeCell ref="Q9:S9"/>
    <mergeCell ref="T9:V9"/>
    <mergeCell ref="M26:N26"/>
    <mergeCell ref="M25:N25"/>
    <mergeCell ref="A39:E39"/>
    <mergeCell ref="F39:K39"/>
    <mergeCell ref="M39:N39"/>
    <mergeCell ref="Q39:S39"/>
    <mergeCell ref="A32:E32"/>
    <mergeCell ref="A33:E33"/>
    <mergeCell ref="F32:K32"/>
    <mergeCell ref="M28:N28"/>
    <mergeCell ref="M29:N29"/>
    <mergeCell ref="M30:N30"/>
    <mergeCell ref="A35:E35"/>
    <mergeCell ref="A25:E25"/>
    <mergeCell ref="Q25:V25"/>
    <mergeCell ref="F11:K11"/>
  </mergeCells>
  <conditionalFormatting sqref="O38:O39">
    <cfRule type="expression" dxfId="138" priority="23">
      <formula>$M$7&gt;1</formula>
    </cfRule>
  </conditionalFormatting>
  <conditionalFormatting sqref="O35:O36">
    <cfRule type="expression" dxfId="137" priority="22">
      <formula>$M$7&gt;1</formula>
    </cfRule>
  </conditionalFormatting>
  <conditionalFormatting sqref="O32:O33">
    <cfRule type="expression" dxfId="136" priority="21">
      <formula>$M$7&gt;1</formula>
    </cfRule>
  </conditionalFormatting>
  <conditionalFormatting sqref="O28">
    <cfRule type="expression" dxfId="135" priority="20">
      <formula>$M$7&gt;1</formula>
    </cfRule>
  </conditionalFormatting>
  <conditionalFormatting sqref="O29:O30">
    <cfRule type="expression" dxfId="134" priority="10">
      <formula>$M$7&gt;1</formula>
    </cfRule>
  </conditionalFormatting>
  <conditionalFormatting sqref="O11">
    <cfRule type="expression" dxfId="133" priority="9">
      <formula>$M$7&gt;1</formula>
    </cfRule>
  </conditionalFormatting>
  <conditionalFormatting sqref="O25:O26">
    <cfRule type="expression" dxfId="132" priority="8">
      <formula>$M$7&gt;1</formula>
    </cfRule>
  </conditionalFormatting>
  <conditionalFormatting sqref="O22:O23">
    <cfRule type="expression" dxfId="131" priority="7">
      <formula>$M$7&gt;1</formula>
    </cfRule>
  </conditionalFormatting>
  <conditionalFormatting sqref="O20:O21">
    <cfRule type="expression" dxfId="130" priority="6">
      <formula>$M$7&gt;1</formula>
    </cfRule>
  </conditionalFormatting>
  <conditionalFormatting sqref="O17:O18">
    <cfRule type="expression" dxfId="129" priority="5">
      <formula>$M$7&gt;1</formula>
    </cfRule>
  </conditionalFormatting>
  <conditionalFormatting sqref="O7">
    <cfRule type="expression" dxfId="128" priority="4">
      <formula>$M$7&gt;1</formula>
    </cfRule>
  </conditionalFormatting>
  <conditionalFormatting sqref="O8:O9">
    <cfRule type="expression" dxfId="127" priority="3">
      <formula>$M$7&gt;1</formula>
    </cfRule>
  </conditionalFormatting>
  <conditionalFormatting sqref="O12">
    <cfRule type="expression" dxfId="126" priority="2">
      <formula>$M$7&gt;1</formula>
    </cfRule>
  </conditionalFormatting>
  <conditionalFormatting sqref="O14:O15">
    <cfRule type="expression" dxfId="125" priority="1">
      <formula>$M$7&gt;1</formula>
    </cfRule>
  </conditionalFormatting>
  <dataValidations disablePrompts="1" count="1">
    <dataValidation type="list" allowBlank="1" showInputMessage="1" showErrorMessage="1" sqref="R6">
      <formula1>$U$3:$U$6</formula1>
    </dataValidation>
  </dataValidations>
  <hyperlinks>
    <hyperlink ref="D42" r:id="rId1"/>
  </hyperlinks>
  <printOptions horizontalCentered="1"/>
  <pageMargins left="0.23622047244094491" right="3.937007874015748E-2" top="0.74803149606299213" bottom="0.74803149606299213" header="0.31496062992125984" footer="0"/>
  <pageSetup paperSize="9" orientation="portrait" r:id="rId2"/>
  <headerFooter alignWithMargins="0">
    <oddHeader>&amp;C&amp;G</oddHeader>
    <oddFooter>&amp;R&amp;G</oddFooter>
  </headerFooter>
  <legacy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Settings!$Y$29:$Y$34</xm:f>
          </x14:formula1>
          <xm:sqref>O38:O39 O35:O36 O32:O33 O28:O30 O17:O18 O7:O9 O25:O26 O20:O23 O11:O12 O14:O15</xm:sqref>
        </x14:dataValidation>
        <x14:dataValidation type="list" allowBlank="1" showInputMessage="1" showErrorMessage="1">
          <x14:formula1>
            <xm:f>Settings!$Z$3:$Z$12</xm:f>
          </x14:formula1>
          <xm:sqref>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1C3C39E1-6ED3-4F61-960F-FFD6144B7C41}">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90</vt:i4>
      </vt:variant>
    </vt:vector>
  </HeadingPairs>
  <TitlesOfParts>
    <vt:vector size="125" baseType="lpstr">
      <vt:lpstr>FactFind</vt:lpstr>
      <vt:lpstr>Profile</vt:lpstr>
      <vt:lpstr>Address</vt:lpstr>
      <vt:lpstr>Income</vt:lpstr>
      <vt:lpstr>LoanCalcs</vt:lpstr>
      <vt:lpstr>Funding</vt:lpstr>
      <vt:lpstr>Security</vt:lpstr>
      <vt:lpstr>A&amp;L</vt:lpstr>
      <vt:lpstr>Expenses</vt:lpstr>
      <vt:lpstr>Servicing</vt:lpstr>
      <vt:lpstr>Goals</vt:lpstr>
      <vt:lpstr>Purpose</vt:lpstr>
      <vt:lpstr>Advice</vt:lpstr>
      <vt:lpstr>ThirdParty</vt:lpstr>
      <vt:lpstr>Compliance</vt:lpstr>
      <vt:lpstr>Req Print</vt:lpstr>
      <vt:lpstr>Processing</vt:lpstr>
      <vt:lpstr>Refinance</vt:lpstr>
      <vt:lpstr>Req</vt:lpstr>
      <vt:lpstr>3Cs</vt:lpstr>
      <vt:lpstr>PBPayslips</vt:lpstr>
      <vt:lpstr>Construction</vt:lpstr>
      <vt:lpstr>SelfEmp</vt:lpstr>
      <vt:lpstr>PBCompare</vt:lpstr>
      <vt:lpstr>BrokNotes</vt:lpstr>
      <vt:lpstr>RefiData</vt:lpstr>
      <vt:lpstr>SMSF</vt:lpstr>
      <vt:lpstr>Invest</vt:lpstr>
      <vt:lpstr>Commission</vt:lpstr>
      <vt:lpstr>Bud(LVR)</vt:lpstr>
      <vt:lpstr>Bud(Dep)</vt:lpstr>
      <vt:lpstr>Bud(Loan)</vt:lpstr>
      <vt:lpstr>Bud(Price)</vt:lpstr>
      <vt:lpstr>Settings</vt:lpstr>
      <vt:lpstr>PBLoan</vt:lpstr>
      <vt:lpstr>AddressBorrower1</vt:lpstr>
      <vt:lpstr>AddressBorrower2</vt:lpstr>
      <vt:lpstr>Address!AddressPostal1</vt:lpstr>
      <vt:lpstr>AddressPostal1</vt:lpstr>
      <vt:lpstr>Address!AddressPostal2</vt:lpstr>
      <vt:lpstr>AddressPostal2</vt:lpstr>
      <vt:lpstr>AddressWork1</vt:lpstr>
      <vt:lpstr>AddressWork2</vt:lpstr>
      <vt:lpstr>B6_</vt:lpstr>
      <vt:lpstr>Borrower1</vt:lpstr>
      <vt:lpstr>Borrower2</vt:lpstr>
      <vt:lpstr>EmployType1</vt:lpstr>
      <vt:lpstr>EmployType2</vt:lpstr>
      <vt:lpstr>GovtFees</vt:lpstr>
      <vt:lpstr>PBCompare!Income1</vt:lpstr>
      <vt:lpstr>Refinance!Income1</vt:lpstr>
      <vt:lpstr>PBCompare!Income2</vt:lpstr>
      <vt:lpstr>BrokNotes!InterestRate</vt:lpstr>
      <vt:lpstr>Processing!InterestRate</vt:lpstr>
      <vt:lpstr>InterestRate</vt:lpstr>
      <vt:lpstr>BrokNotes!Lender1</vt:lpstr>
      <vt:lpstr>Compliance!Lender1</vt:lpstr>
      <vt:lpstr>Goals!Lender1</vt:lpstr>
      <vt:lpstr>Purpose!Lender1</vt:lpstr>
      <vt:lpstr>Req!Lender1</vt:lpstr>
      <vt:lpstr>'Req Print'!Lender1</vt:lpstr>
      <vt:lpstr>BrokNotes!Lender2</vt:lpstr>
      <vt:lpstr>Compliance!Lender2</vt:lpstr>
      <vt:lpstr>Goals!Lender2</vt:lpstr>
      <vt:lpstr>Purpose!Lender2</vt:lpstr>
      <vt:lpstr>Req!Lender2</vt:lpstr>
      <vt:lpstr>'Req Print'!Lender2</vt:lpstr>
      <vt:lpstr>BrokNotes!Lender3</vt:lpstr>
      <vt:lpstr>Compliance!Lender3</vt:lpstr>
      <vt:lpstr>Goals!Lender3</vt:lpstr>
      <vt:lpstr>Purpose!Lender3</vt:lpstr>
      <vt:lpstr>Req!Lender3</vt:lpstr>
      <vt:lpstr>'Req Print'!Lender3</vt:lpstr>
      <vt:lpstr>Lenders</vt:lpstr>
      <vt:lpstr>ListRefinanceReasons</vt:lpstr>
      <vt:lpstr>Processing!LoanSplit1</vt:lpstr>
      <vt:lpstr>LoanSplit1</vt:lpstr>
      <vt:lpstr>LoanTotalAmount</vt:lpstr>
      <vt:lpstr>Occupation1</vt:lpstr>
      <vt:lpstr>Occupation2</vt:lpstr>
      <vt:lpstr>'3Cs'!Print_Area</vt:lpstr>
      <vt:lpstr>'A&amp;L'!Print_Area</vt:lpstr>
      <vt:lpstr>Address!Print_Area</vt:lpstr>
      <vt:lpstr>Advice!Print_Area</vt:lpstr>
      <vt:lpstr>BrokNotes!Print_Area</vt:lpstr>
      <vt:lpstr>'Bud(Dep)'!Print_Area</vt:lpstr>
      <vt:lpstr>'Bud(Loan)'!Print_Area</vt:lpstr>
      <vt:lpstr>'Bud(LVR)'!Print_Area</vt:lpstr>
      <vt:lpstr>'Bud(Price)'!Print_Area</vt:lpstr>
      <vt:lpstr>Compliance!Print_Area</vt:lpstr>
      <vt:lpstr>Construction!Print_Area</vt:lpstr>
      <vt:lpstr>Expenses!Print_Area</vt:lpstr>
      <vt:lpstr>FactFind!Print_Area</vt:lpstr>
      <vt:lpstr>Funding!Print_Area</vt:lpstr>
      <vt:lpstr>Goals!Print_Area</vt:lpstr>
      <vt:lpstr>Income!Print_Area</vt:lpstr>
      <vt:lpstr>Invest!Print_Area</vt:lpstr>
      <vt:lpstr>LoanCalcs!Print_Area</vt:lpstr>
      <vt:lpstr>PBCompare!Print_Area</vt:lpstr>
      <vt:lpstr>PBLoan!Print_Area</vt:lpstr>
      <vt:lpstr>PBPayslips!Print_Area</vt:lpstr>
      <vt:lpstr>Processing!Print_Area</vt:lpstr>
      <vt:lpstr>Profile!Print_Area</vt:lpstr>
      <vt:lpstr>Purpose!Print_Area</vt:lpstr>
      <vt:lpstr>Refinance!Print_Area</vt:lpstr>
      <vt:lpstr>Req!Print_Area</vt:lpstr>
      <vt:lpstr>'Req Print'!Print_Area</vt:lpstr>
      <vt:lpstr>Security!Print_Area</vt:lpstr>
      <vt:lpstr>SelfEmp!Print_Area</vt:lpstr>
      <vt:lpstr>Servicing!Print_Area</vt:lpstr>
      <vt:lpstr>SMSF!Print_Area</vt:lpstr>
      <vt:lpstr>ThirdParty!Print_Area</vt:lpstr>
      <vt:lpstr>ProfessionalAdvice</vt:lpstr>
      <vt:lpstr>Construction!Purchase</vt:lpstr>
      <vt:lpstr>Purchase</vt:lpstr>
      <vt:lpstr>Construction!PurchaseLoanAmount</vt:lpstr>
      <vt:lpstr>PurchaseLoanAmount</vt:lpstr>
      <vt:lpstr>Construction!PurchasePrice</vt:lpstr>
      <vt:lpstr>PurchasePrice</vt:lpstr>
      <vt:lpstr>SecurityPurchasePrice</vt:lpstr>
      <vt:lpstr>SecurityTotal</vt:lpstr>
      <vt:lpstr>'Bud(Dep)'!State6</vt:lpstr>
      <vt:lpstr>'Bud(Loan)'!State6</vt:lpstr>
      <vt:lpstr>'Bud(Price)'!State6</vt:lpstr>
      <vt:lpstr>State6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FactFind</dc:title>
  <dc:creator>Robert Ward</dc:creator>
  <cp:keywords>FactFind</cp:keywords>
  <cp:lastModifiedBy>Robert Ward</cp:lastModifiedBy>
  <cp:lastPrinted>2017-02-27T23:55:45Z</cp:lastPrinted>
  <dcterms:created xsi:type="dcterms:W3CDTF">2013-12-06T03:39:13Z</dcterms:created>
  <dcterms:modified xsi:type="dcterms:W3CDTF">2017-03-03T01:21:19Z</dcterms:modified>
</cp:coreProperties>
</file>